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915" windowHeight="7005" firstSheet="6" activeTab="8"/>
  </bookViews>
  <sheets>
    <sheet name="صفحة الغلاف" sheetId="1" r:id="rId1"/>
    <sheet name="ملخص" sheetId="2" r:id="rId2"/>
    <sheet name="أ. إعداد ميزانية المخرجات" sheetId="3" r:id="rId3"/>
    <sheet name="الخدمة المدنية وإدارة الموارد ا" sheetId="4" r:id="rId4"/>
    <sheet name="ASPA" sheetId="5" r:id="rId5"/>
    <sheet name="السياسة والمتابعة والتشريع" sheetId="6" r:id="rId6"/>
    <sheet name="الابتكار" sheetId="7" r:id="rId7"/>
    <sheet name="اللامركزية " sheetId="8" r:id="rId8"/>
    <sheet name="الشفافية ومكافحة الفساد " sheetId="9" r:id="rId9"/>
  </sheets>
  <externalReferences>
    <externalReference r:id="rId12"/>
  </externalReferences>
  <definedNames>
    <definedName name="OLE_LINK3" localSheetId="2">'أ. إعداد ميزانية المخرجات'!#REF!</definedName>
    <definedName name="_xlnm.Print_Area" localSheetId="2">'أ. إعداد ميزانية المخرجات'!$A$2:$L$201</definedName>
    <definedName name="_xlnm.Print_Area" localSheetId="0">'صفحة الغلاف'!$B$1:$J$26</definedName>
  </definedNames>
  <calcPr fullCalcOnLoad="1"/>
</workbook>
</file>

<file path=xl/sharedStrings.xml><?xml version="1.0" encoding="utf-8"?>
<sst xmlns="http://schemas.openxmlformats.org/spreadsheetml/2006/main" count="1290" uniqueCount="1273">
  <si>
    <r>
      <rPr>
        <b/>
        <sz val="8"/>
        <rFont val="Arial"/>
        <family val="2"/>
      </rPr>
      <t>الأجر</t>
    </r>
  </si>
  <si>
    <r>
      <rPr>
        <b/>
        <sz val="9"/>
        <rFont val="Calibri"/>
        <family val="2"/>
      </rPr>
      <t>الإجمالي</t>
    </r>
  </si>
  <si>
    <r>
      <rPr>
        <b/>
        <sz val="10"/>
        <color indexed="18"/>
        <rFont val="Arial"/>
        <family val="2"/>
      </rPr>
      <t xml:space="preserve">الإجمالي </t>
    </r>
  </si>
  <si>
    <r>
      <rPr>
        <b/>
        <i/>
        <sz val="10"/>
        <rFont val="Arial"/>
        <family val="2"/>
      </rPr>
      <t>م</t>
    </r>
  </si>
  <si>
    <r>
      <rPr>
        <b/>
        <sz val="8"/>
        <rFont val="Arial"/>
        <family val="2"/>
      </rPr>
      <t>4 (1×2×3)</t>
    </r>
  </si>
  <si>
    <r>
      <rPr>
        <b/>
        <i/>
        <sz val="8"/>
        <rFont val="Arial Narrow"/>
        <family val="2"/>
      </rPr>
      <t>أ</t>
    </r>
  </si>
  <si>
    <r>
      <rPr>
        <b/>
        <sz val="8"/>
        <rFont val="Arial"/>
        <family val="2"/>
      </rPr>
      <t>ب</t>
    </r>
  </si>
  <si>
    <r>
      <rPr>
        <b/>
        <i/>
        <sz val="8"/>
        <rFont val="Arial Narrow"/>
        <family val="2"/>
      </rPr>
      <t>ج</t>
    </r>
  </si>
  <si>
    <r>
      <rPr>
        <b/>
        <i/>
        <sz val="8"/>
        <rFont val="Arial Narrow"/>
        <family val="2"/>
      </rPr>
      <t>د</t>
    </r>
  </si>
  <si>
    <r>
      <rPr>
        <sz val="8"/>
        <rFont val="Arial Narrow"/>
        <family val="2"/>
      </rPr>
      <t>ه</t>
    </r>
  </si>
  <si>
    <r>
      <rPr>
        <b/>
        <i/>
        <sz val="8"/>
        <rFont val="Arial Narrow"/>
        <family val="2"/>
      </rPr>
      <t>و</t>
    </r>
  </si>
  <si>
    <r>
      <rPr>
        <b/>
        <i/>
        <sz val="8"/>
        <rFont val="Arial"/>
        <family val="2"/>
      </rPr>
      <t xml:space="preserve">Ndarja e buxhetit ne vite </t>
    </r>
  </si>
  <si>
    <r>
      <rPr>
        <b/>
        <i/>
        <sz val="8"/>
        <rFont val="Arial Narrow"/>
        <family val="2"/>
      </rPr>
      <t xml:space="preserve">العدد </t>
    </r>
  </si>
  <si>
    <r>
      <rPr>
        <b/>
        <i/>
        <sz val="8"/>
        <rFont val="Arial"/>
        <family val="2"/>
      </rPr>
      <t>Viti 2015</t>
    </r>
  </si>
  <si>
    <r>
      <rPr>
        <b/>
        <i/>
        <sz val="8"/>
        <rFont val="Arial"/>
        <family val="2"/>
      </rPr>
      <t>Viti 2016</t>
    </r>
  </si>
  <si>
    <r>
      <rPr>
        <b/>
        <i/>
        <sz val="8"/>
        <rFont val="Arial"/>
        <family val="2"/>
      </rPr>
      <t>Viti 2017</t>
    </r>
  </si>
  <si>
    <r>
      <rPr>
        <b/>
        <i/>
        <sz val="8"/>
        <rFont val="Arial"/>
        <family val="2"/>
      </rPr>
      <t xml:space="preserve">Viti </t>
    </r>
    <r>
      <rPr>
        <i/>
        <sz val="8"/>
        <rFont val="Arial"/>
        <family val="2"/>
      </rPr>
      <t>2018-2020</t>
    </r>
  </si>
  <si>
    <r>
      <rPr>
        <sz val="10"/>
        <rFont val="Arial Narrow"/>
        <family val="2"/>
      </rPr>
      <t>1.1.1</t>
    </r>
  </si>
  <si>
    <r>
      <rPr>
        <sz val="10"/>
        <rFont val="Arial Narrow"/>
        <family val="2"/>
      </rPr>
      <t>2.2.1</t>
    </r>
  </si>
  <si>
    <r>
      <rPr>
        <sz val="10"/>
        <rFont val="Arial Narrow"/>
        <family val="2"/>
      </rPr>
      <t>2.1.1</t>
    </r>
  </si>
  <si>
    <r>
      <rPr>
        <sz val="10"/>
        <rFont val="Arial Narrow"/>
        <family val="2"/>
      </rPr>
      <t>2.1.2</t>
    </r>
  </si>
  <si>
    <r>
      <rPr>
        <sz val="8"/>
        <rFont val="Arial"/>
        <family val="2"/>
      </rPr>
      <t>2.2.2</t>
    </r>
  </si>
  <si>
    <r>
      <rPr>
        <sz val="10"/>
        <rFont val="Arial Narrow"/>
        <family val="2"/>
      </rPr>
      <t>3.1.1</t>
    </r>
  </si>
  <si>
    <r>
      <rPr>
        <sz val="10"/>
        <rFont val="Arial Narrow"/>
        <family val="2"/>
      </rPr>
      <t>3.1.2</t>
    </r>
  </si>
  <si>
    <r>
      <rPr>
        <sz val="10"/>
        <rFont val="Arial Narrow"/>
        <family val="2"/>
      </rPr>
      <t>3.1.3</t>
    </r>
  </si>
  <si>
    <r>
      <rPr>
        <sz val="10"/>
        <rFont val="Arial Narrow"/>
        <family val="2"/>
      </rPr>
      <t>3.2.1</t>
    </r>
  </si>
  <si>
    <r>
      <rPr>
        <sz val="10"/>
        <rFont val="Arial Narrow"/>
        <family val="2"/>
      </rPr>
      <t>3.2.2</t>
    </r>
  </si>
  <si>
    <r>
      <rPr>
        <sz val="10"/>
        <rFont val="Arial Narrow"/>
        <family val="2"/>
      </rPr>
      <t>4.1.1</t>
    </r>
  </si>
  <si>
    <r>
      <rPr>
        <sz val="10"/>
        <rFont val="Arial Narrow"/>
        <family val="2"/>
      </rPr>
      <t>4.2.1</t>
    </r>
  </si>
  <si>
    <r>
      <rPr>
        <sz val="10"/>
        <rFont val="Arial Narrow"/>
        <family val="2"/>
      </rPr>
      <t>4.2.2</t>
    </r>
  </si>
  <si>
    <r>
      <rPr>
        <sz val="10"/>
        <rFont val="Arial Narrow"/>
        <family val="2"/>
      </rPr>
      <t>1.1.2</t>
    </r>
  </si>
  <si>
    <r>
      <rPr>
        <sz val="10"/>
        <rFont val="Arial Narrow"/>
        <family val="2"/>
      </rPr>
      <t>1.1.3</t>
    </r>
  </si>
  <si>
    <r>
      <rPr>
        <sz val="10"/>
        <rFont val="Arial Narrow"/>
        <family val="2"/>
      </rPr>
      <t>1.1.4</t>
    </r>
  </si>
  <si>
    <r>
      <rPr>
        <sz val="10"/>
        <rFont val="Arial Narrow"/>
        <family val="2"/>
      </rPr>
      <t xml:space="preserve"> </t>
    </r>
  </si>
  <si>
    <r>
      <rPr>
        <sz val="10"/>
        <rFont val="Arial Narrow"/>
        <family val="2"/>
      </rPr>
      <t>1.1.5</t>
    </r>
  </si>
  <si>
    <r>
      <rPr>
        <sz val="10"/>
        <rFont val="Arial Narrow"/>
        <family val="2"/>
      </rPr>
      <t>1.2.1</t>
    </r>
  </si>
  <si>
    <r>
      <rPr>
        <sz val="10"/>
        <rFont val="Arial Narrow"/>
        <family val="2"/>
      </rPr>
      <t>1.2.2</t>
    </r>
  </si>
  <si>
    <r>
      <rPr>
        <sz val="10"/>
        <rFont val="Arial Narrow"/>
        <family val="2"/>
      </rPr>
      <t>1.2.3</t>
    </r>
  </si>
  <si>
    <r>
      <rPr>
        <sz val="8"/>
        <rFont val="Arial Narrow"/>
        <family val="2"/>
      </rPr>
      <t>1.2.8</t>
    </r>
  </si>
  <si>
    <r>
      <rPr>
        <sz val="10"/>
        <rFont val="Arial Narrow"/>
        <family val="2"/>
      </rPr>
      <t>1.3.1</t>
    </r>
  </si>
  <si>
    <r>
      <rPr>
        <sz val="10"/>
        <rFont val="Arial Narrow"/>
        <family val="2"/>
      </rPr>
      <t>1.3.2</t>
    </r>
  </si>
  <si>
    <r>
      <rPr>
        <sz val="10"/>
        <rFont val="Arial Narrow"/>
        <family val="2"/>
      </rPr>
      <t>1.3.3</t>
    </r>
  </si>
  <si>
    <r>
      <rPr>
        <sz val="8"/>
        <rFont val="Arial Narrow"/>
        <family val="2"/>
      </rPr>
      <t>1.3.4</t>
    </r>
  </si>
  <si>
    <r>
      <rPr>
        <sz val="8"/>
        <rFont val="Arial Narrow"/>
        <family val="2"/>
      </rPr>
      <t>1.3.5</t>
    </r>
  </si>
  <si>
    <r>
      <rPr>
        <sz val="10"/>
        <rFont val="Arial Narrow"/>
        <family val="2"/>
      </rPr>
      <t>1.4.1</t>
    </r>
  </si>
  <si>
    <r>
      <rPr>
        <sz val="8"/>
        <rFont val="Arial Narrow"/>
        <family val="2"/>
      </rPr>
      <t>1.4.2</t>
    </r>
  </si>
  <si>
    <r>
      <rPr>
        <sz val="10"/>
        <rFont val="Arial Narrow"/>
        <family val="2"/>
      </rPr>
      <t>1.4.3</t>
    </r>
  </si>
  <si>
    <r>
      <rPr>
        <sz val="8"/>
        <rFont val="Arial"/>
        <family val="2"/>
      </rPr>
      <t>1.5.1</t>
    </r>
  </si>
  <si>
    <r>
      <rPr>
        <sz val="10"/>
        <rFont val="Arial Narrow"/>
        <family val="2"/>
      </rPr>
      <t>1.5.2</t>
    </r>
  </si>
  <si>
    <r>
      <rPr>
        <sz val="8"/>
        <rFont val="Arial"/>
        <family val="2"/>
      </rPr>
      <t>2.1.3</t>
    </r>
  </si>
  <si>
    <r>
      <rPr>
        <sz val="10"/>
        <rFont val="Arial Narrow"/>
        <family val="2"/>
      </rPr>
      <t>2.2.3</t>
    </r>
  </si>
  <si>
    <r>
      <rPr>
        <sz val="10"/>
        <rFont val="Arial Narrow"/>
        <family val="2"/>
      </rPr>
      <t>2.3.1</t>
    </r>
  </si>
  <si>
    <r>
      <rPr>
        <sz val="10"/>
        <rFont val="Arial Narrow"/>
        <family val="2"/>
      </rPr>
      <t>2.3.2</t>
    </r>
  </si>
  <si>
    <r>
      <rPr>
        <sz val="10"/>
        <rFont val="Arial Narrow"/>
        <family val="2"/>
      </rPr>
      <t>2.4.1</t>
    </r>
  </si>
  <si>
    <r>
      <rPr>
        <sz val="10"/>
        <rFont val="Arial Narrow"/>
        <family val="2"/>
      </rPr>
      <t>2.4.2</t>
    </r>
  </si>
  <si>
    <r>
      <rPr>
        <sz val="10"/>
        <rFont val="Arial Narrow"/>
        <family val="2"/>
      </rPr>
      <t>2.4.3</t>
    </r>
  </si>
  <si>
    <r>
      <rPr>
        <sz val="10"/>
        <rFont val="Arial Narrow"/>
        <family val="2"/>
      </rPr>
      <t>3.2.3</t>
    </r>
  </si>
  <si>
    <r>
      <rPr>
        <sz val="10"/>
        <rFont val="Arial Narrow"/>
        <family val="2"/>
      </rPr>
      <t>3.2.4</t>
    </r>
  </si>
  <si>
    <r>
      <rPr>
        <sz val="10"/>
        <rFont val="Arial Narrow"/>
        <family val="2"/>
      </rPr>
      <t>4.1.2</t>
    </r>
  </si>
  <si>
    <r>
      <rPr>
        <sz val="10"/>
        <rFont val="Arial Narrow"/>
        <family val="2"/>
      </rPr>
      <t>4.3.1</t>
    </r>
  </si>
  <si>
    <r>
      <rPr>
        <sz val="8"/>
        <rFont val="Arial"/>
        <family val="2"/>
      </rPr>
      <t>5.1.1</t>
    </r>
  </si>
  <si>
    <r>
      <rPr>
        <sz val="8"/>
        <rFont val="Arial"/>
        <family val="2"/>
      </rPr>
      <t>5.1.2</t>
    </r>
  </si>
  <si>
    <r>
      <rPr>
        <sz val="10"/>
        <rFont val="Arial Narrow"/>
        <family val="2"/>
      </rPr>
      <t>5.2.1</t>
    </r>
  </si>
  <si>
    <r>
      <rPr>
        <sz val="8"/>
        <rFont val="Arial"/>
        <family val="2"/>
      </rPr>
      <t>نظام معلومات إدارة الموارد البشرية</t>
    </r>
  </si>
  <si>
    <r>
      <rPr>
        <sz val="8"/>
        <rFont val="Arial"/>
        <family val="2"/>
      </rPr>
      <t>5.3.1</t>
    </r>
  </si>
  <si>
    <r>
      <rPr>
        <sz val="8"/>
        <rFont val="Arial"/>
        <family val="2"/>
      </rPr>
      <t>5.3.2</t>
    </r>
  </si>
  <si>
    <r>
      <rPr>
        <sz val="8"/>
        <rFont val="Arial"/>
        <family val="2"/>
      </rPr>
      <t>5.4.1</t>
    </r>
  </si>
  <si>
    <r>
      <rPr>
        <sz val="8"/>
        <color indexed="8"/>
        <rFont val="Arial"/>
        <family val="2"/>
      </rPr>
      <t>sqarime</t>
    </r>
  </si>
  <si>
    <r>
      <rPr>
        <sz val="8"/>
        <rFont val="Arial"/>
        <family val="2"/>
      </rPr>
      <t>20 وزارة، 20 شخص/حد أدنى. 3 cikle 3 ditore trajnimi</t>
    </r>
  </si>
  <si>
    <r>
      <rPr>
        <sz val="8"/>
        <rFont val="Arial"/>
        <family val="2"/>
      </rPr>
      <t>1 ekspert I huaj dhe 1 lokal</t>
    </r>
  </si>
  <si>
    <r>
      <rPr>
        <sz val="8"/>
        <rFont val="Arial"/>
        <family val="2"/>
      </rPr>
      <t>1 ekspert I huaj dhe 1 lokal qe do bejne rishikimin e gjithe kuadrit institucional, urdheri , manuali I IPS prodhimi dhe botimi</t>
    </r>
  </si>
  <si>
    <r>
      <rPr>
        <sz val="8"/>
        <rFont val="Arial"/>
        <family val="2"/>
      </rPr>
      <t xml:space="preserve">أ. 1 retreat ne vit per Kabinetin e Qeverise (ministrat dhe KM) 
ب. 1 retreat ne vit per Sekretaret e Pergjithshem
 </t>
    </r>
  </si>
  <si>
    <r>
      <rPr>
        <sz val="8"/>
        <rFont val="Arial"/>
        <family val="2"/>
      </rPr>
      <t xml:space="preserve"> 2 trajnime ne vit me ML per IPS</t>
    </r>
  </si>
  <si>
    <r>
      <rPr>
        <sz val="8"/>
        <rFont val="Arial"/>
        <family val="2"/>
      </rPr>
      <t xml:space="preserve">30 dokumenta strategjike: 5 eksperte lokale ( 1 TL + 4 eksperte). 20 dite per sektore ekpsertet. TL 50 dite me shume </t>
    </r>
  </si>
  <si>
    <r>
      <rPr>
        <sz val="8"/>
        <rFont val="Arial"/>
        <family val="2"/>
      </rPr>
      <t>1 ekspert te huaj dhe 1 lokal per sektor</t>
    </r>
  </si>
  <si>
    <r>
      <rPr>
        <sz val="8"/>
        <rFont val="Arial"/>
        <family val="2"/>
      </rPr>
      <t>5 persona te rinj, llogaritur si buxhet per 6 vjet</t>
    </r>
  </si>
  <si>
    <r>
      <rPr>
        <sz val="8"/>
        <rFont val="Arial"/>
        <family val="2"/>
      </rPr>
      <t>6 vjet /3 ST per 10 persona. 1 ST 5 dite.</t>
    </r>
  </si>
  <si>
    <r>
      <rPr>
        <sz val="8"/>
        <rFont val="Arial"/>
        <family val="2"/>
      </rPr>
      <t>1 ne vit 1 ditor</t>
    </r>
  </si>
  <si>
    <r>
      <rPr>
        <sz val="8"/>
        <rFont val="Arial"/>
        <family val="2"/>
      </rPr>
      <t>Trajnime per stafet e Ministrive</t>
    </r>
  </si>
  <si>
    <r>
      <rPr>
        <sz val="10"/>
        <rFont val="Arial Narrow"/>
        <family val="2"/>
      </rPr>
      <t>1.5.3</t>
    </r>
  </si>
  <si>
    <r>
      <rPr>
        <sz val="8"/>
        <rFont val="Arial"/>
        <family val="2"/>
      </rPr>
      <t>Trajnim I vazhdueshem per stafin e ri te MF</t>
    </r>
  </si>
  <si>
    <r>
      <rPr>
        <sz val="8"/>
        <rFont val="Arial"/>
        <family val="2"/>
      </rPr>
      <t>Trajnime per stafet e Ministrive . Te pakten 15 persona/ministri= 300 ne total</t>
    </r>
  </si>
  <si>
    <r>
      <rPr>
        <sz val="8"/>
        <rFont val="Arial"/>
        <family val="2"/>
      </rPr>
      <t>a. hartimi I paketes se trajnimit 
b.trajnimi I stafeve (20 persona/ministri) + 30% te stafeve te reja potencialisht te hyra ne vit</t>
    </r>
  </si>
  <si>
    <r>
      <rPr>
        <sz val="8"/>
        <rFont val="Arial"/>
        <family val="2"/>
      </rPr>
      <t>Trajnim per stafin e SPU</t>
    </r>
  </si>
  <si>
    <r>
      <rPr>
        <sz val="8"/>
        <rFont val="Arial"/>
        <family val="2"/>
      </rPr>
      <t>Shqyrtimi I tyre ne 19 ministri. Hartimi I raportit dhe rekomandimeve</t>
    </r>
  </si>
  <si>
    <r>
      <rPr>
        <sz val="8"/>
        <rFont val="Arial"/>
        <family val="2"/>
      </rPr>
      <t>Perfshihet trajnimi dhe coaching per menaxheret e larte gjate fazes se hartimit te PBA + Strategji</t>
    </r>
  </si>
  <si>
    <r>
      <rPr>
        <sz val="10"/>
        <rFont val="Arial Narrow"/>
        <family val="2"/>
      </rPr>
      <t>2.3.3</t>
    </r>
  </si>
  <si>
    <r>
      <rPr>
        <sz val="8"/>
        <rFont val="Arial"/>
        <family val="2"/>
      </rPr>
      <t>2.4.5</t>
    </r>
  </si>
  <si>
    <r>
      <rPr>
        <sz val="10"/>
        <rFont val="Arial Narrow"/>
        <family val="2"/>
      </rPr>
      <t>2.5.1</t>
    </r>
  </si>
  <si>
    <r>
      <rPr>
        <sz val="10"/>
        <rFont val="Arial Narrow"/>
        <family val="2"/>
      </rPr>
      <t>2.5.2</t>
    </r>
  </si>
  <si>
    <r>
      <rPr>
        <sz val="10"/>
        <rFont val="Arial Narrow"/>
        <family val="2"/>
      </rPr>
      <t>2.5.3</t>
    </r>
  </si>
  <si>
    <r>
      <rPr>
        <sz val="10"/>
        <rFont val="Arial Narrow"/>
        <family val="2"/>
      </rPr>
      <t>2.6.1</t>
    </r>
  </si>
  <si>
    <r>
      <rPr>
        <sz val="10"/>
        <rFont val="Arial Narrow"/>
        <family val="2"/>
      </rPr>
      <t>2.6.2</t>
    </r>
  </si>
  <si>
    <r>
      <rPr>
        <sz val="8"/>
        <rFont val="Arial"/>
        <family val="2"/>
      </rPr>
      <t>2.6.3</t>
    </r>
  </si>
  <si>
    <r>
      <rPr>
        <sz val="8"/>
        <rFont val="Arial"/>
        <family val="2"/>
      </rPr>
      <t>2.7.1</t>
    </r>
  </si>
  <si>
    <r>
      <rPr>
        <sz val="8"/>
        <rFont val="Arial"/>
        <family val="2"/>
      </rPr>
      <t>2.7.2</t>
    </r>
  </si>
  <si>
    <r>
      <rPr>
        <sz val="8"/>
        <rFont val="Arial"/>
        <family val="2"/>
      </rPr>
      <t>1 exp huaj + 1 exc lokal</t>
    </r>
  </si>
  <si>
    <r>
      <rPr>
        <sz val="10"/>
        <rFont val="Arial Narrow"/>
        <family val="2"/>
      </rPr>
      <t>3.1.4</t>
    </r>
  </si>
  <si>
    <r>
      <rPr>
        <sz val="10"/>
        <rFont val="Arial Narrow"/>
        <family val="2"/>
      </rPr>
      <t>3.1.5</t>
    </r>
  </si>
  <si>
    <r>
      <rPr>
        <sz val="10"/>
        <rFont val="Arial Narrow"/>
        <family val="2"/>
      </rPr>
      <t>3.1.6</t>
    </r>
  </si>
  <si>
    <r>
      <rPr>
        <sz val="8"/>
        <rFont val="Arial"/>
        <family val="2"/>
      </rPr>
      <t>3.2.5</t>
    </r>
  </si>
  <si>
    <r>
      <rPr>
        <sz val="8"/>
        <rFont val="Arial"/>
        <family val="2"/>
      </rPr>
      <t xml:space="preserve">rishikimi I kuadrit, metodologjise + hartimi dhe publikimi I manualit </t>
    </r>
  </si>
  <si>
    <r>
      <rPr>
        <sz val="8"/>
        <rFont val="Arial"/>
        <family val="2"/>
      </rPr>
      <t>Trajnime + الجولة الدراسية</t>
    </r>
  </si>
  <si>
    <r>
      <rPr>
        <sz val="8"/>
        <rFont val="Arial"/>
        <family val="2"/>
      </rPr>
      <t>10 أشخاص / مليون = 400. Trajnim 2 ditor/ per 3 vjet</t>
    </r>
  </si>
  <si>
    <r>
      <rPr>
        <sz val="8"/>
        <rFont val="Arial Narrow"/>
        <family val="2"/>
      </rPr>
      <t>700000 TA</t>
    </r>
  </si>
  <si>
    <r>
      <rPr>
        <sz val="10"/>
        <rFont val="Arial Narrow"/>
        <family val="2"/>
      </rPr>
      <t>6.8.1</t>
    </r>
  </si>
  <si>
    <r>
      <rPr>
        <sz val="8"/>
        <rFont val="Arial Narrow"/>
        <family val="2"/>
      </rPr>
      <t>IPS 2</t>
    </r>
  </si>
  <si>
    <r>
      <rPr>
        <sz val="10"/>
        <rFont val="Arial Narrow"/>
        <family val="2"/>
      </rPr>
      <t>6.8.2</t>
    </r>
  </si>
  <si>
    <r>
      <rPr>
        <sz val="10"/>
        <rFont val="Arial Narrow"/>
        <family val="2"/>
      </rPr>
      <t>6.8.3</t>
    </r>
  </si>
  <si>
    <r>
      <rPr>
        <sz val="10"/>
        <rFont val="Arial Narrow"/>
        <family val="2"/>
      </rPr>
      <t>6.8.4</t>
    </r>
  </si>
  <si>
    <r>
      <rPr>
        <sz val="8"/>
        <rFont val="Arial Narrow"/>
        <family val="2"/>
      </rPr>
      <t>شامل</t>
    </r>
  </si>
  <si>
    <r>
      <rPr>
        <sz val="8"/>
        <rFont val="Arial Narrow"/>
        <family val="2"/>
      </rPr>
      <t>8,2 / 8,3 / 5,2</t>
    </r>
  </si>
  <si>
    <r>
      <rPr>
        <sz val="10"/>
        <rFont val="Arial Narrow"/>
        <family val="2"/>
      </rPr>
      <t>1.1.6</t>
    </r>
  </si>
  <si>
    <r>
      <rPr>
        <sz val="10"/>
        <rFont val="Arial Narrow"/>
        <family val="2"/>
      </rPr>
      <t>1.1.7</t>
    </r>
  </si>
  <si>
    <r>
      <rPr>
        <sz val="10"/>
        <rFont val="Arial Narrow"/>
        <family val="2"/>
      </rPr>
      <t>1.1.8</t>
    </r>
  </si>
  <si>
    <r>
      <rPr>
        <sz val="10"/>
        <rFont val="Arial Narrow"/>
        <family val="2"/>
      </rPr>
      <t>1.1.9</t>
    </r>
  </si>
  <si>
    <r>
      <rPr>
        <sz val="10"/>
        <rFont val="Arial Narrow"/>
        <family val="2"/>
      </rPr>
      <t>1.1.10</t>
    </r>
  </si>
  <si>
    <r>
      <rPr>
        <sz val="10"/>
        <rFont val="Arial Narrow"/>
        <family val="2"/>
      </rPr>
      <t>1.6.1</t>
    </r>
  </si>
  <si>
    <r>
      <rPr>
        <sz val="10"/>
        <rFont val="Arial Narrow"/>
        <family val="2"/>
      </rPr>
      <t>1.8.1</t>
    </r>
  </si>
  <si>
    <r>
      <rPr>
        <sz val="10"/>
        <rFont val="Arial Narrow"/>
        <family val="2"/>
      </rPr>
      <t>1.8.2</t>
    </r>
  </si>
  <si>
    <r>
      <rPr>
        <sz val="10"/>
        <rFont val="Arial Narrow"/>
        <family val="2"/>
      </rPr>
      <t>1.1.11</t>
    </r>
  </si>
  <si>
    <r>
      <rPr>
        <sz val="10"/>
        <rFont val="Arial Narrow"/>
        <family val="2"/>
      </rPr>
      <t>1.1.12</t>
    </r>
  </si>
  <si>
    <r>
      <rPr>
        <sz val="10"/>
        <rFont val="Arial Narrow"/>
        <family val="2"/>
      </rPr>
      <t>1.1.13</t>
    </r>
  </si>
  <si>
    <r>
      <rPr>
        <sz val="10"/>
        <rFont val="Arial Narrow"/>
        <family val="2"/>
      </rPr>
      <t>1.8.3</t>
    </r>
  </si>
  <si>
    <r>
      <rPr>
        <sz val="10"/>
        <rFont val="Arial Narrow"/>
        <family val="2"/>
      </rPr>
      <t>1.8.4</t>
    </r>
  </si>
  <si>
    <r>
      <rPr>
        <sz val="10"/>
        <rFont val="Arial Narrow"/>
        <family val="2"/>
      </rPr>
      <t>2.2.2</t>
    </r>
  </si>
  <si>
    <r>
      <rPr>
        <sz val="10"/>
        <rFont val="Arial Narrow"/>
        <family val="2"/>
      </rPr>
      <t>3.3.1</t>
    </r>
  </si>
  <si>
    <r>
      <rPr>
        <sz val="10"/>
        <rFont val="Arial Narrow"/>
        <family val="2"/>
      </rPr>
      <t>3.3.2</t>
    </r>
  </si>
  <si>
    <r>
      <rPr>
        <sz val="10"/>
        <rFont val="Arial Narrow"/>
        <family val="2"/>
      </rPr>
      <t>3.3.3</t>
    </r>
  </si>
  <si>
    <r>
      <rPr>
        <sz val="10"/>
        <rFont val="Arial Narrow"/>
        <family val="2"/>
      </rPr>
      <t>3.3.4</t>
    </r>
  </si>
  <si>
    <r>
      <rPr>
        <sz val="10"/>
        <rFont val="Arial Narrow"/>
        <family val="2"/>
      </rPr>
      <t>3.4.1</t>
    </r>
  </si>
  <si>
    <r>
      <rPr>
        <sz val="10"/>
        <rFont val="Arial Narrow"/>
        <family val="2"/>
      </rPr>
      <t>3.4.2</t>
    </r>
  </si>
  <si>
    <r>
      <rPr>
        <sz val="10"/>
        <rFont val="Arial Narrow"/>
        <family val="2"/>
      </rPr>
      <t>3.4.3</t>
    </r>
  </si>
  <si>
    <r>
      <rPr>
        <sz val="10"/>
        <rFont val="Arial Narrow"/>
        <family val="2"/>
      </rPr>
      <t>3.4.4</t>
    </r>
  </si>
  <si>
    <r>
      <rPr>
        <sz val="10"/>
        <rFont val="Arial Narrow"/>
        <family val="2"/>
      </rPr>
      <t>8.1.1</t>
    </r>
  </si>
  <si>
    <r>
      <rPr>
        <sz val="10"/>
        <rFont val="Arial Narrow"/>
        <family val="2"/>
      </rPr>
      <t>8.1.2</t>
    </r>
  </si>
  <si>
    <r>
      <rPr>
        <sz val="10"/>
        <rFont val="Arial Narrow"/>
        <family val="2"/>
      </rPr>
      <t>8.2.1</t>
    </r>
  </si>
  <si>
    <r>
      <rPr>
        <sz val="10"/>
        <rFont val="Arial Narrow"/>
        <family val="2"/>
      </rPr>
      <t>8.3.1</t>
    </r>
  </si>
  <si>
    <r>
      <rPr>
        <sz val="10"/>
        <rFont val="Arial Narrow"/>
        <family val="2"/>
      </rPr>
      <t>9.1.1</t>
    </r>
  </si>
  <si>
    <r>
      <rPr>
        <sz val="10"/>
        <rFont val="Arial Narrow"/>
        <family val="2"/>
      </rPr>
      <t>9.2.1</t>
    </r>
  </si>
  <si>
    <r>
      <rPr>
        <sz val="10"/>
        <rFont val="Arial Narrow"/>
        <family val="2"/>
      </rPr>
      <t>9.2.2</t>
    </r>
  </si>
  <si>
    <r>
      <rPr>
        <sz val="10"/>
        <rFont val="Arial Narrow"/>
        <family val="2"/>
      </rPr>
      <t>9.2.3</t>
    </r>
  </si>
  <si>
    <r>
      <rPr>
        <sz val="10"/>
        <rFont val="Arial Narrow"/>
        <family val="2"/>
      </rPr>
      <t>9.3.1</t>
    </r>
  </si>
  <si>
    <r>
      <rPr>
        <sz val="10"/>
        <rFont val="Arial Narrow"/>
        <family val="2"/>
      </rPr>
      <t>4.1.3</t>
    </r>
  </si>
  <si>
    <r>
      <rPr>
        <sz val="10"/>
        <rFont val="Arial Narrow"/>
        <family val="2"/>
      </rPr>
      <t>6.5.1</t>
    </r>
  </si>
  <si>
    <r>
      <rPr>
        <sz val="10"/>
        <rFont val="Arial Narrow"/>
        <family val="2"/>
      </rPr>
      <t>6.5.2</t>
    </r>
  </si>
  <si>
    <r>
      <rPr>
        <sz val="10"/>
        <rFont val="Arial Narrow"/>
        <family val="2"/>
      </rPr>
      <t>6.5.3</t>
    </r>
  </si>
  <si>
    <r>
      <rPr>
        <sz val="10"/>
        <rFont val="Arial Narrow"/>
        <family val="2"/>
      </rPr>
      <t>6.5.4</t>
    </r>
  </si>
  <si>
    <r>
      <rPr>
        <sz val="8"/>
        <rFont val="Arial Narrow"/>
        <family val="2"/>
      </rPr>
      <t>6.6.1</t>
    </r>
  </si>
  <si>
    <r>
      <rPr>
        <sz val="8"/>
        <rFont val="Arial Narrow"/>
        <family val="2"/>
      </rPr>
      <t>6.6.2</t>
    </r>
  </si>
  <si>
    <r>
      <rPr>
        <sz val="10"/>
        <rFont val="Arial Narrow"/>
        <family val="2"/>
      </rPr>
      <t>6.7.1</t>
    </r>
  </si>
  <si>
    <r>
      <rPr>
        <sz val="10"/>
        <rFont val="Arial Narrow"/>
        <family val="2"/>
      </rPr>
      <t>6.7.2</t>
    </r>
  </si>
  <si>
    <r>
      <rPr>
        <b/>
        <i/>
        <sz val="8"/>
        <rFont val="Arial Narrow"/>
        <family val="2"/>
      </rPr>
      <t>IPA</t>
    </r>
  </si>
  <si>
    <r>
      <rPr>
        <sz val="10"/>
        <rFont val="Arial Narrow"/>
        <family val="2"/>
      </rPr>
      <t>6.9.1</t>
    </r>
  </si>
  <si>
    <r>
      <rPr>
        <sz val="10"/>
        <rFont val="Arial Narrow"/>
        <family val="2"/>
      </rPr>
      <t>6.9.2</t>
    </r>
  </si>
  <si>
    <r>
      <rPr>
        <sz val="10"/>
        <rFont val="Arial Narrow"/>
        <family val="2"/>
      </rPr>
      <t>6.9.3</t>
    </r>
  </si>
  <si>
    <r>
      <rPr>
        <sz val="10"/>
        <rFont val="Arial Narrow"/>
        <family val="2"/>
      </rPr>
      <t>6.9.4</t>
    </r>
  </si>
  <si>
    <r>
      <rPr>
        <sz val="10"/>
        <rFont val="Arial Narrow"/>
        <family val="2"/>
      </rPr>
      <t>6.9.5</t>
    </r>
  </si>
  <si>
    <r>
      <rPr>
        <sz val="10"/>
        <rFont val="Arial Narrow"/>
        <family val="2"/>
      </rPr>
      <t>6.9.6</t>
    </r>
  </si>
  <si>
    <r>
      <rPr>
        <sz val="10"/>
        <rFont val="Arial Narrow"/>
        <family val="2"/>
      </rPr>
      <t>6.9.7</t>
    </r>
  </si>
  <si>
    <r>
      <rPr>
        <sz val="10"/>
        <rFont val="Arial Narrow"/>
        <family val="2"/>
      </rPr>
      <t>6.9.8</t>
    </r>
  </si>
  <si>
    <r>
      <rPr>
        <sz val="10"/>
        <rFont val="Arial Narrow"/>
        <family val="2"/>
      </rPr>
      <t>6.9.9</t>
    </r>
  </si>
  <si>
    <r>
      <rPr>
        <sz val="10"/>
        <rFont val="Arial Narrow"/>
        <family val="2"/>
      </rPr>
      <t>6.10.1</t>
    </r>
  </si>
  <si>
    <r>
      <rPr>
        <sz val="10"/>
        <rFont val="Arial Narrow"/>
        <family val="2"/>
      </rPr>
      <t>6.10.2</t>
    </r>
  </si>
  <si>
    <r>
      <rPr>
        <sz val="10"/>
        <rFont val="Arial Narrow"/>
        <family val="2"/>
      </rPr>
      <t>6.10.3</t>
    </r>
  </si>
  <si>
    <r>
      <rPr>
        <sz val="10"/>
        <rFont val="Arial Narrow"/>
        <family val="2"/>
      </rPr>
      <t>6.10.4</t>
    </r>
  </si>
  <si>
    <r>
      <rPr>
        <sz val="10"/>
        <rFont val="Arial Narrow"/>
        <family val="2"/>
      </rPr>
      <t>6.10.5</t>
    </r>
  </si>
  <si>
    <r>
      <rPr>
        <sz val="10"/>
        <rFont val="Arial Narrow"/>
        <family val="2"/>
      </rPr>
      <t>6.10.6</t>
    </r>
  </si>
  <si>
    <r>
      <rPr>
        <sz val="10"/>
        <rFont val="Arial Narrow"/>
        <family val="2"/>
      </rPr>
      <t>6.10.7</t>
    </r>
  </si>
  <si>
    <r>
      <rPr>
        <sz val="10"/>
        <rFont val="Arial Narrow"/>
        <family val="2"/>
      </rPr>
      <t>6.10.8</t>
    </r>
  </si>
  <si>
    <r>
      <rPr>
        <sz val="10"/>
        <rFont val="Arial Narrow"/>
        <family val="2"/>
      </rPr>
      <t>6.10.9</t>
    </r>
  </si>
  <si>
    <r>
      <rPr>
        <sz val="10"/>
        <rFont val="Arial Narrow"/>
        <family val="2"/>
      </rPr>
      <t>10.1.1</t>
    </r>
  </si>
  <si>
    <r>
      <rPr>
        <sz val="10"/>
        <rFont val="Arial Narrow"/>
        <family val="2"/>
      </rPr>
      <t>10.1.2</t>
    </r>
  </si>
  <si>
    <r>
      <rPr>
        <sz val="10"/>
        <rFont val="Arial Narrow"/>
        <family val="2"/>
      </rPr>
      <t>10.2.1</t>
    </r>
  </si>
  <si>
    <r>
      <rPr>
        <sz val="10"/>
        <rFont val="Arial Narrow"/>
        <family val="2"/>
      </rPr>
      <t>10.2.2</t>
    </r>
  </si>
  <si>
    <r>
      <rPr>
        <sz val="10"/>
        <rFont val="Arial Narrow"/>
        <family val="2"/>
      </rPr>
      <t>4.3.2</t>
    </r>
  </si>
  <si>
    <r>
      <rPr>
        <sz val="10"/>
        <rFont val="Arial Narrow"/>
        <family val="2"/>
      </rPr>
      <t>6.2.1</t>
    </r>
  </si>
  <si>
    <r>
      <rPr>
        <sz val="10"/>
        <rFont val="Arial Narrow"/>
        <family val="2"/>
      </rPr>
      <t>6.2.2</t>
    </r>
  </si>
  <si>
    <r>
      <rPr>
        <sz val="10"/>
        <rFont val="Arial Narrow"/>
        <family val="2"/>
      </rPr>
      <t>6.4.2</t>
    </r>
  </si>
  <si>
    <r>
      <rPr>
        <sz val="10"/>
        <rFont val="Arial Narrow"/>
        <family val="2"/>
      </rPr>
      <t>6.4.1</t>
    </r>
  </si>
  <si>
    <r>
      <rPr>
        <sz val="10"/>
        <rFont val="Arial Narrow"/>
        <family val="2"/>
      </rPr>
      <t>6.3.1</t>
    </r>
  </si>
  <si>
    <r>
      <rPr>
        <sz val="10"/>
        <rFont val="Arial Narrow"/>
        <family val="2"/>
      </rPr>
      <t>2.3.4</t>
    </r>
  </si>
  <si>
    <r>
      <rPr>
        <sz val="10"/>
        <rFont val="Arial Narrow"/>
        <family val="2"/>
      </rPr>
      <t>5.2.2</t>
    </r>
  </si>
  <si>
    <r>
      <rPr>
        <sz val="10"/>
        <rFont val="Arial Narrow"/>
        <family val="2"/>
      </rPr>
      <t>5.2.3</t>
    </r>
  </si>
  <si>
    <r>
      <rPr>
        <sz val="10"/>
        <rFont val="Arial Narrow"/>
        <family val="2"/>
      </rPr>
      <t>7.1.1</t>
    </r>
  </si>
  <si>
    <r>
      <rPr>
        <sz val="10"/>
        <rFont val="Arial Narrow"/>
        <family val="2"/>
      </rPr>
      <t>7.1.2</t>
    </r>
  </si>
  <si>
    <r>
      <rPr>
        <sz val="10"/>
        <rFont val="Arial Narrow"/>
        <family val="2"/>
      </rPr>
      <t>7.2.1</t>
    </r>
  </si>
  <si>
    <r>
      <rPr>
        <sz val="10"/>
        <rFont val="Arial Narrow"/>
        <family val="2"/>
      </rPr>
      <t>7.3.1</t>
    </r>
  </si>
  <si>
    <r>
      <rPr>
        <sz val="10"/>
        <rFont val="Arial Narrow"/>
        <family val="2"/>
      </rPr>
      <t>8.4.1</t>
    </r>
  </si>
  <si>
    <r>
      <rPr>
        <sz val="10"/>
        <rFont val="Arial Narrow"/>
        <family val="2"/>
      </rPr>
      <t>8.4.2</t>
    </r>
  </si>
  <si>
    <r>
      <rPr>
        <sz val="10"/>
        <rFont val="Arial Narrow"/>
        <family val="2"/>
      </rPr>
      <t>8.5.1</t>
    </r>
  </si>
  <si>
    <r>
      <rPr>
        <sz val="10"/>
        <rFont val="Arial Narrow"/>
        <family val="2"/>
      </rPr>
      <t>8.6.1</t>
    </r>
  </si>
  <si>
    <r>
      <rPr>
        <sz val="10"/>
        <rFont val="Arial Narrow"/>
        <family val="2"/>
      </rPr>
      <t>8.6.2</t>
    </r>
  </si>
  <si>
    <r>
      <rPr>
        <sz val="10"/>
        <rFont val="Arial Narrow"/>
        <family val="2"/>
      </rPr>
      <t>8.6.3</t>
    </r>
  </si>
  <si>
    <r>
      <rPr>
        <sz val="10"/>
        <rFont val="Arial Narrow"/>
        <family val="2"/>
      </rPr>
      <t>8.7.1</t>
    </r>
  </si>
  <si>
    <r>
      <rPr>
        <sz val="10"/>
        <rFont val="Arial Narrow"/>
        <family val="2"/>
      </rPr>
      <t>8.7.2</t>
    </r>
  </si>
  <si>
    <r>
      <rPr>
        <sz val="10"/>
        <rFont val="Arial Narrow"/>
        <family val="2"/>
      </rPr>
      <t>6.2.3</t>
    </r>
  </si>
  <si>
    <r>
      <rPr>
        <sz val="10"/>
        <rFont val="Arial Narrow"/>
        <family val="2"/>
      </rPr>
      <t>6.1.6</t>
    </r>
  </si>
  <si>
    <r>
      <rPr>
        <sz val="8"/>
        <rFont val="Arial Narrow"/>
        <family val="2"/>
      </rPr>
      <t>11.1.1</t>
    </r>
  </si>
  <si>
    <r>
      <rPr>
        <sz val="8"/>
        <rFont val="Arial Narrow"/>
        <family val="2"/>
      </rPr>
      <t>11.2.1</t>
    </r>
  </si>
  <si>
    <r>
      <rPr>
        <sz val="10"/>
        <rFont val="Arial Narrow"/>
        <family val="2"/>
      </rPr>
      <t>11.3.1</t>
    </r>
  </si>
  <si>
    <r>
      <rPr>
        <sz val="10"/>
        <rFont val="Arial Narrow"/>
        <family val="2"/>
      </rPr>
      <t>4.3.3</t>
    </r>
  </si>
  <si>
    <r>
      <rPr>
        <sz val="10"/>
        <rFont val="Arial Narrow"/>
        <family val="2"/>
      </rPr>
      <t>4.3.4</t>
    </r>
  </si>
  <si>
    <r>
      <rPr>
        <sz val="10"/>
        <rFont val="Arial Narrow"/>
        <family val="2"/>
      </rPr>
      <t>4.1.4</t>
    </r>
  </si>
  <si>
    <r>
      <rPr>
        <b/>
        <i/>
        <sz val="10"/>
        <rFont val="Arial"/>
        <family val="2"/>
      </rPr>
      <t>WB</t>
    </r>
  </si>
  <si>
    <r>
      <rPr>
        <b/>
        <sz val="9"/>
        <rFont val="Calibri"/>
        <family val="2"/>
      </rPr>
      <t>برنامج الأمم المتحدة للتنمية</t>
    </r>
  </si>
  <si>
    <r>
      <rPr>
        <sz val="10"/>
        <rFont val="Arial"/>
        <family val="2"/>
      </rPr>
      <t xml:space="preserve"> 
</t>
    </r>
    <r>
      <rPr>
        <b/>
        <i/>
        <sz val="10"/>
        <rFont val="Arial"/>
        <family val="2"/>
      </rPr>
      <t xml:space="preserve">   IPA            </t>
    </r>
  </si>
  <si>
    <r>
      <rPr>
        <b/>
        <sz val="8"/>
        <rFont val="Arial"/>
        <family val="2"/>
      </rPr>
      <t>CoA</t>
    </r>
  </si>
  <si>
    <r>
      <rPr>
        <b/>
        <sz val="8"/>
        <rFont val="Arial"/>
        <family val="2"/>
      </rPr>
      <t xml:space="preserve">برنامج الأمم المتحدة للتنمية  </t>
    </r>
  </si>
  <si>
    <r>
      <rPr>
        <sz val="10"/>
        <color indexed="8"/>
        <rFont val="Arial"/>
        <family val="2"/>
      </rPr>
      <t>ASPA</t>
    </r>
  </si>
  <si>
    <r>
      <rPr>
        <sz val="10"/>
        <color indexed="8"/>
        <rFont val="Arial"/>
        <family val="2"/>
      </rPr>
      <t>الابتكار</t>
    </r>
  </si>
  <si>
    <r>
      <rPr>
        <sz val="8"/>
        <rFont val="Arial"/>
        <family val="2"/>
      </rPr>
      <t>1.7.1</t>
    </r>
  </si>
  <si>
    <r>
      <rPr>
        <sz val="8"/>
        <rFont val="Arial"/>
        <family val="2"/>
      </rPr>
      <t>1.7.2</t>
    </r>
  </si>
  <si>
    <r>
      <rPr>
        <sz val="8"/>
        <rFont val="Arial"/>
        <family val="2"/>
      </rPr>
      <t>1.7.3</t>
    </r>
  </si>
  <si>
    <r>
      <rPr>
        <sz val="8"/>
        <rFont val="Arial"/>
        <family val="2"/>
      </rPr>
      <t>3.1.7</t>
    </r>
  </si>
  <si>
    <r>
      <rPr>
        <sz val="8"/>
        <rFont val="Arial"/>
        <family val="2"/>
      </rPr>
      <t>3.1.8</t>
    </r>
  </si>
  <si>
    <r>
      <rPr>
        <sz val="8"/>
        <rFont val="Arial"/>
        <family val="2"/>
      </rPr>
      <t>3.1.9</t>
    </r>
  </si>
  <si>
    <r>
      <rPr>
        <sz val="8"/>
        <rFont val="Arial"/>
        <family val="2"/>
      </rPr>
      <t>3.1.10</t>
    </r>
  </si>
  <si>
    <r>
      <rPr>
        <sz val="8"/>
        <rFont val="Arial"/>
        <family val="2"/>
      </rPr>
      <t>3.4.5</t>
    </r>
  </si>
  <si>
    <r>
      <rPr>
        <sz val="8"/>
        <rFont val="Arial"/>
        <family val="2"/>
      </rPr>
      <t>3.4.6</t>
    </r>
  </si>
  <si>
    <r>
      <rPr>
        <sz val="10"/>
        <rFont val="Arial Narrow"/>
        <family val="2"/>
      </rPr>
      <t>3.3.5</t>
    </r>
  </si>
  <si>
    <r>
      <rPr>
        <sz val="10"/>
        <rFont val="Arial Narrow"/>
        <family val="2"/>
      </rPr>
      <t>6.8.5</t>
    </r>
  </si>
  <si>
    <r>
      <rPr>
        <sz val="10"/>
        <color indexed="8"/>
        <rFont val="Arial"/>
        <family val="2"/>
      </rPr>
      <t>صناديق المانحين</t>
    </r>
  </si>
  <si>
    <r>
      <rPr>
        <sz val="10"/>
        <rFont val="Arial Narrow"/>
        <family val="2"/>
      </rPr>
      <t>5.2.5</t>
    </r>
  </si>
  <si>
    <r>
      <rPr>
        <sz val="10"/>
        <rFont val="Arial Narrow"/>
        <family val="2"/>
      </rPr>
      <t>6.5.1.1</t>
    </r>
  </si>
  <si>
    <r>
      <rPr>
        <sz val="10"/>
        <rFont val="Arial Narrow"/>
        <family val="2"/>
      </rPr>
      <t>6.5.1.2</t>
    </r>
  </si>
  <si>
    <r>
      <rPr>
        <b/>
        <sz val="9"/>
        <rFont val="Calibri"/>
        <family val="2"/>
      </rPr>
      <t>الاتحاد الأوروبي (IPA)</t>
    </r>
  </si>
  <si>
    <r>
      <rPr>
        <b/>
        <i/>
        <sz val="8"/>
        <rFont val="Arial Narrow"/>
        <family val="2"/>
      </rPr>
      <t>الإجراء</t>
    </r>
  </si>
  <si>
    <r>
      <rPr>
        <b/>
        <i/>
        <sz val="8"/>
        <rFont val="Arial Narrow"/>
        <family val="2"/>
      </rPr>
      <t>مؤشرات المخرج</t>
    </r>
  </si>
  <si>
    <r>
      <rPr>
        <b/>
        <i/>
        <sz val="8"/>
        <rFont val="Arial Narrow"/>
        <family val="2"/>
      </rPr>
      <t>النشاط مع / بدون تكلفة إضافية</t>
    </r>
  </si>
  <si>
    <r>
      <rPr>
        <b/>
        <i/>
        <sz val="8"/>
        <rFont val="Arial Narrow"/>
        <family val="2"/>
      </rPr>
      <t xml:space="preserve">صندوق رواتب الموظفين الإضافيين </t>
    </r>
  </si>
  <si>
    <r>
      <rPr>
        <b/>
        <i/>
        <sz val="8"/>
        <rFont val="Arial Narrow"/>
        <family val="2"/>
      </rPr>
      <t>م</t>
    </r>
  </si>
  <si>
    <r>
      <rPr>
        <b/>
        <i/>
        <sz val="8"/>
        <rFont val="Arial Narrow"/>
        <family val="2"/>
      </rPr>
      <t xml:space="preserve">متوسط الراتب  </t>
    </r>
  </si>
  <si>
    <r>
      <rPr>
        <b/>
        <i/>
        <sz val="8"/>
        <rFont val="Arial Narrow"/>
        <family val="2"/>
      </rPr>
      <t>الشهر</t>
    </r>
  </si>
  <si>
    <r>
      <rPr>
        <b/>
        <i/>
        <sz val="8"/>
        <rFont val="Arial Narrow"/>
        <family val="2"/>
      </rPr>
      <t xml:space="preserve">القيمة الإجمالية </t>
    </r>
  </si>
  <si>
    <r>
      <rPr>
        <b/>
        <sz val="9"/>
        <rFont val="Calibri"/>
        <family val="2"/>
      </rPr>
      <t xml:space="preserve">مصاريف المؤتمرات / الحلقات النقاشية والدورات التدريبية   </t>
    </r>
  </si>
  <si>
    <r>
      <rPr>
        <b/>
        <i/>
        <sz val="8"/>
        <rFont val="Arial Narrow"/>
        <family val="2"/>
      </rPr>
      <t>عدد الفعاليات التدريبية / الحلقات النقاشية</t>
    </r>
  </si>
  <si>
    <r>
      <rPr>
        <b/>
        <i/>
        <sz val="8"/>
        <rFont val="Arial Narrow"/>
        <family val="2"/>
      </rPr>
      <t>اليوم / النشاط</t>
    </r>
  </si>
  <si>
    <r>
      <rPr>
        <b/>
        <i/>
        <sz val="8"/>
        <rFont val="Arial Narrow"/>
        <family val="2"/>
      </rPr>
      <t>المشاركون في التدريب</t>
    </r>
  </si>
  <si>
    <r>
      <rPr>
        <b/>
        <i/>
        <sz val="8"/>
        <rFont val="Arial Narrow"/>
        <family val="2"/>
      </rPr>
      <t>إيجار القاعة / يوم</t>
    </r>
  </si>
  <si>
    <r>
      <rPr>
        <b/>
        <i/>
        <sz val="8"/>
        <rFont val="Arial Narrow"/>
        <family val="2"/>
      </rPr>
      <t xml:space="preserve">قيمة المادة التدريبية / للشخص </t>
    </r>
  </si>
  <si>
    <r>
      <rPr>
        <b/>
        <i/>
        <sz val="8"/>
        <rFont val="Arial Narrow"/>
        <family val="2"/>
      </rPr>
      <t>القيمة الإجمالية</t>
    </r>
  </si>
  <si>
    <r>
      <rPr>
        <b/>
        <i/>
        <sz val="8"/>
        <rFont val="Arial Narrow"/>
        <family val="2"/>
      </rPr>
      <t xml:space="preserve">الخبرة المحلية </t>
    </r>
  </si>
  <si>
    <r>
      <rPr>
        <b/>
        <i/>
        <sz val="8"/>
        <rFont val="Arial Narrow"/>
        <family val="2"/>
      </rPr>
      <t xml:space="preserve">الخبرة الأجنبية </t>
    </r>
  </si>
  <si>
    <r>
      <rPr>
        <b/>
        <i/>
        <sz val="8"/>
        <rFont val="Arial Narrow"/>
        <family val="2"/>
      </rPr>
      <t>اليوم / الخبير</t>
    </r>
  </si>
  <si>
    <r>
      <rPr>
        <b/>
        <i/>
        <sz val="8"/>
        <rFont val="Arial Narrow"/>
        <family val="2"/>
      </rPr>
      <t xml:space="preserve">مصاريف المعلومات العامة (المطبوعات)  </t>
    </r>
  </si>
  <si>
    <r>
      <rPr>
        <b/>
        <i/>
        <sz val="8"/>
        <rFont val="Arial Narrow"/>
        <family val="2"/>
      </rPr>
      <t xml:space="preserve">قطعة / نشاط </t>
    </r>
  </si>
  <si>
    <r>
      <rPr>
        <b/>
        <i/>
        <sz val="8"/>
        <rFont val="Arial Narrow"/>
        <family val="2"/>
      </rPr>
      <t>قطعة / القيمة لكل وحدة</t>
    </r>
  </si>
  <si>
    <r>
      <rPr>
        <b/>
        <i/>
        <sz val="8"/>
        <rFont val="Arial Narrow"/>
        <family val="2"/>
      </rPr>
      <t xml:space="preserve">تطوير البرمجيات الحاسوبية </t>
    </r>
  </si>
  <si>
    <r>
      <rPr>
        <b/>
        <i/>
        <sz val="8"/>
        <rFont val="Arial Narrow"/>
        <family val="2"/>
      </rPr>
      <t>المباني</t>
    </r>
  </si>
  <si>
    <r>
      <rPr>
        <b/>
        <i/>
        <sz val="8"/>
        <rFont val="Arial Narrow"/>
        <family val="2"/>
      </rPr>
      <t xml:space="preserve">الاستثمارات </t>
    </r>
  </si>
  <si>
    <r>
      <rPr>
        <b/>
        <sz val="9"/>
        <rFont val="Calibri"/>
        <family val="2"/>
      </rPr>
      <t>الأجهزة المادية الحاسوبية</t>
    </r>
  </si>
  <si>
    <r>
      <rPr>
        <b/>
        <i/>
        <sz val="8"/>
        <rFont val="Arial Narrow"/>
        <family val="2"/>
      </rPr>
      <t xml:space="preserve">قطعة </t>
    </r>
  </si>
  <si>
    <r>
      <rPr>
        <b/>
        <i/>
        <sz val="8"/>
        <rFont val="Arial Narrow"/>
        <family val="2"/>
      </rPr>
      <t>متوسط السعر / وحدة</t>
    </r>
  </si>
  <si>
    <r>
      <rPr>
        <b/>
        <sz val="9"/>
        <rFont val="Calibri"/>
        <family val="2"/>
      </rPr>
      <t xml:space="preserve">مستلزمات المكاتب </t>
    </r>
  </si>
  <si>
    <r>
      <rPr>
        <b/>
        <i/>
        <sz val="8"/>
        <rFont val="Arial Narrow"/>
        <family val="2"/>
      </rPr>
      <t>قطعة</t>
    </r>
  </si>
  <si>
    <r>
      <rPr>
        <b/>
        <i/>
        <sz val="8"/>
        <rFont val="Arial Narrow"/>
        <family val="2"/>
      </rPr>
      <t xml:space="preserve">التكلفة المقدرة للمخرج </t>
    </r>
  </si>
  <si>
    <r>
      <rPr>
        <b/>
        <i/>
        <sz val="8"/>
        <rFont val="Arial Narrow"/>
        <family val="2"/>
      </rPr>
      <t xml:space="preserve">مصاريف أخرى </t>
    </r>
  </si>
  <si>
    <r>
      <rPr>
        <b/>
        <i/>
        <sz val="8"/>
        <rFont val="Arial Narrow"/>
        <family val="2"/>
      </rPr>
      <t>مصادر التمويل (حسب المخرجات)</t>
    </r>
  </si>
  <si>
    <r>
      <rPr>
        <b/>
        <i/>
        <sz val="10"/>
        <rFont val="Arial"/>
        <family val="2"/>
      </rPr>
      <t>ميزانية الدولة (MTBP 2015-2017)</t>
    </r>
  </si>
  <si>
    <r>
      <rPr>
        <sz val="9"/>
        <rFont val="Calibri"/>
        <family val="2"/>
      </rPr>
      <t>الفجوة المالية</t>
    </r>
  </si>
  <si>
    <r>
      <rPr>
        <b/>
        <i/>
        <sz val="8"/>
        <rFont val="Arial Narrow"/>
        <family val="2"/>
      </rPr>
      <t xml:space="preserve">الهدف 4: </t>
    </r>
    <r>
      <rPr>
        <b/>
        <i/>
        <sz val="8"/>
        <rFont val="Arial Narrow"/>
        <family val="2"/>
      </rPr>
      <t>تقوية هياكل الإدارة العامة لتحسين توفير الخدمة للجمهور.</t>
    </r>
    <r>
      <rPr>
        <sz val="8"/>
        <rFont val="Arial Narrow"/>
        <family val="2"/>
      </rPr>
      <t xml:space="preserve">
</t>
    </r>
  </si>
  <si>
    <r>
      <rPr>
        <sz val="8"/>
        <rFont val="Arial Narrow"/>
        <family val="2"/>
      </rPr>
      <t>4-2 تنفيذ التدخلات القانونية في قوانين إنشاء المؤسسات التابعة وفروع الوزارات ومراجعة الهياكل التنظيمية والأوصاف الوظيفية وموقع المقرات الرئيسية وفقًا للوحدات الإقليمية.</t>
    </r>
  </si>
  <si>
    <r>
      <rPr>
        <b/>
        <i/>
        <sz val="8"/>
        <rFont val="Arial Narrow"/>
        <family val="2"/>
      </rPr>
      <t xml:space="preserve">الهدف 6: </t>
    </r>
    <r>
      <rPr>
        <b/>
        <i/>
        <sz val="8"/>
        <rFont val="Arial Narrow"/>
        <family val="2"/>
      </rPr>
      <t>تحسن قدرات تطبيق تشريعات الخدمة المدنية وتسهيل إجراءات إنفاذها.</t>
    </r>
    <r>
      <rPr>
        <sz val="8"/>
        <rFont val="Arial Narrow"/>
        <family val="2"/>
      </rPr>
      <t xml:space="preserve">
</t>
    </r>
  </si>
  <si>
    <r>
      <rPr>
        <sz val="8"/>
        <rFont val="Arial Narrow"/>
        <family val="2"/>
      </rPr>
      <t>6-1 تقييم قدرات الموارد البشرية المسؤولة عن تنفيذ قانون الخدمة المدنية في المؤسسات التي تم تأسيسها حديثًا وبناء قدراتها على تنفيذ الإجراءات الموحدة.</t>
    </r>
  </si>
  <si>
    <r>
      <rPr>
        <sz val="10"/>
        <rFont val="Arial Narrow"/>
        <family val="2"/>
      </rPr>
      <t>بناء قدرات تخطيط الموارد البشرية في مؤسسات الإدارة العامة</t>
    </r>
  </si>
  <si>
    <r>
      <rPr>
        <sz val="8"/>
        <rFont val="Arial Narrow"/>
        <family val="2"/>
      </rPr>
      <t>بناء قدرات دائرة الإدارة العامة على قيادة إصلاح الخدمة المدنية استراتيجيّا:</t>
    </r>
  </si>
  <si>
    <r>
      <rPr>
        <sz val="8"/>
        <rFont val="Arial Narrow"/>
        <family val="2"/>
      </rPr>
      <t xml:space="preserve"> إنشاء نظام لإنشاء قواعد بيانات بها أسئلة معدة سلفًا واستخدام نظم التقييم الإلكترونية عند تنفيذ إجراءات التعيين في الخدمة المدنية (2017)</t>
    </r>
  </si>
  <si>
    <r>
      <rPr>
        <sz val="8"/>
        <rFont val="Arial Narrow"/>
        <family val="2"/>
      </rPr>
      <t xml:space="preserve"> تبسيط ونمذجة الخطوات والعمليات المتعلقة بالموارد البشرية في الإدارة العامة من خلال استخدام قوالب جاهزة أو نماذج قياسية (2017)</t>
    </r>
  </si>
  <si>
    <r>
      <rPr>
        <sz val="8"/>
        <rFont val="Arial Narrow"/>
        <family val="2"/>
      </rPr>
      <t xml:space="preserve">وضع اللمسات النهائية على نظام معلومات إدارة الموارد البشرية وتطبيق خطة التنفيذ </t>
    </r>
  </si>
  <si>
    <r>
      <rPr>
        <b/>
        <i/>
        <sz val="8"/>
        <rFont val="Arial Narrow"/>
        <family val="2"/>
      </rPr>
      <t xml:space="preserve">الهدف 7: </t>
    </r>
    <r>
      <rPr>
        <b/>
        <i/>
        <sz val="8"/>
        <rFont val="Arial Narrow"/>
        <family val="2"/>
      </rPr>
      <t xml:space="preserve">تنظيم نظام الأجور بالخدمة المدنية على أساس التقييم الموضوعي وتقييم الإنجازات السنوية لموظفي الخدمة المدنية ونتائج التدريب الإلزامي. </t>
    </r>
    <r>
      <rPr>
        <sz val="8"/>
        <rFont val="Arial Narrow"/>
        <family val="2"/>
      </rPr>
      <t xml:space="preserve">
</t>
    </r>
  </si>
  <si>
    <r>
      <rPr>
        <sz val="8"/>
        <rFont val="Arial Narrow"/>
        <family val="2"/>
      </rPr>
      <t>تبني القرارات الجديدة الخاصة بالأجور وتنفيذ الهيكل الجديد. (2020)</t>
    </r>
  </si>
  <si>
    <r>
      <rPr>
        <sz val="8"/>
        <rFont val="Arial Narrow"/>
        <family val="2"/>
      </rPr>
      <t>7-3 مراجعة النسب بين أقصى وأدنى حد للأجور في الإدارة العامة لضمان استمرار موضوعية هرم الأجور وتحفيز شاغلي المناصب الإدارية بالإضافة إلى تنويع التصنيف وفقًا لمحتوى الوظيفة.</t>
    </r>
  </si>
  <si>
    <r>
      <rPr>
        <sz val="8"/>
        <rFont val="Arial Narrow"/>
        <family val="2"/>
      </rPr>
      <t xml:space="preserve">تأسيس إطار وظيفي للعلاقات بين الوزارات والمؤسسات التابعة لها.  </t>
    </r>
  </si>
  <si>
    <r>
      <rPr>
        <sz val="8"/>
        <rFont val="Arial Narrow"/>
        <family val="2"/>
      </rPr>
      <t>دليل إجراءات العمليات الإدارية ونظام إدارة الوثائق في الوزارات المباشرة (IPA A.1.5).</t>
    </r>
  </si>
  <si>
    <r>
      <rPr>
        <sz val="8"/>
        <rFont val="Arial Narrow"/>
        <family val="2"/>
      </rPr>
      <t>النشاط 1-5</t>
    </r>
  </si>
  <si>
    <r>
      <rPr>
        <sz val="8"/>
        <rFont val="Arial Narrow"/>
        <family val="2"/>
      </rPr>
      <t xml:space="preserve">مراجعة الإطار القانوني ذي الصلة </t>
    </r>
  </si>
  <si>
    <r>
      <rPr>
        <sz val="8"/>
        <rFont val="Arial Narrow"/>
        <family val="2"/>
      </rPr>
      <t>المراجعة الوظيفية للمؤسسات والتأقلم مع التقسيم الجديد للأقاليم.</t>
    </r>
  </si>
  <si>
    <r>
      <rPr>
        <sz val="8"/>
        <rFont val="Arial Narrow"/>
        <family val="2"/>
      </rPr>
      <t>توأمة A.1.1.5</t>
    </r>
  </si>
  <si>
    <r>
      <rPr>
        <sz val="8"/>
        <rFont val="Arial Narrow"/>
        <family val="2"/>
      </rPr>
      <t xml:space="preserve">تقييم الامتثال لقانون الخدمة المدنية الجديد فيما يتعلق بالهياكل الإدارية والرقابية الجديدة.  </t>
    </r>
  </si>
  <si>
    <r>
      <rPr>
        <sz val="8"/>
        <rFont val="Arial Narrow"/>
        <family val="2"/>
      </rPr>
      <t>دراسة قدرة الهياكل تجريها دائرة الإدارة العامة</t>
    </r>
  </si>
  <si>
    <r>
      <rPr>
        <sz val="10"/>
        <rFont val="Arial Narrow"/>
        <family val="2"/>
      </rPr>
      <t>بدون تكلفة إضافية</t>
    </r>
  </si>
  <si>
    <r>
      <rPr>
        <sz val="8"/>
        <rFont val="Arial Narrow"/>
        <family val="2"/>
      </rPr>
      <t>طريقة التخطيط طويل المدى للموارد البشرية.</t>
    </r>
  </si>
  <si>
    <r>
      <rPr>
        <sz val="8"/>
        <rFont val="Arial Narrow"/>
        <family val="2"/>
      </rPr>
      <t>برنامج مخصص للتدريب على طريقة التخطيط طويل المدى للموارد البشرية.</t>
    </r>
  </si>
  <si>
    <r>
      <rPr>
        <sz val="8"/>
        <rFont val="Arial Narrow"/>
        <family val="2"/>
      </rPr>
      <t>سيتم توفير الدورات التدريبية من خلال برامج ASPA.</t>
    </r>
  </si>
  <si>
    <r>
      <rPr>
        <sz val="8"/>
        <rFont val="Arial Narrow"/>
        <family val="2"/>
      </rPr>
      <t>تأسيس آليات لتقوية التعاون بين CSC ومؤسسات الإدارة العامة (IPA A.2.3).</t>
    </r>
  </si>
  <si>
    <r>
      <rPr>
        <sz val="8"/>
        <rFont val="Arial Narrow"/>
        <family val="2"/>
      </rPr>
      <t>بناء قدرات CSC (IPA A.2.4 جزئيا).</t>
    </r>
  </si>
  <si>
    <r>
      <rPr>
        <sz val="8"/>
        <rFont val="Arial Narrow"/>
        <family val="2"/>
      </rPr>
      <t>اختبار نظم الأسئلة</t>
    </r>
  </si>
  <si>
    <r>
      <rPr>
        <sz val="8"/>
        <rFont val="Arial Narrow"/>
        <family val="2"/>
      </rPr>
      <t>تطوير النظام الآلي للاختبارات (من أجل 15 تخصصًا).</t>
    </r>
  </si>
  <si>
    <r>
      <rPr>
        <sz val="8"/>
        <rFont val="Arial Narrow"/>
        <family val="2"/>
      </rPr>
      <t>بنك أسئلة الاختبارات التي تم تنفيذها (من أجل 10 تخصصات).</t>
    </r>
  </si>
  <si>
    <r>
      <rPr>
        <sz val="8"/>
        <rFont val="Arial Narrow"/>
        <family val="2"/>
      </rPr>
      <t xml:space="preserve">تأسيس منصة النظام. </t>
    </r>
  </si>
  <si>
    <r>
      <rPr>
        <sz val="8"/>
        <rFont val="Arial Narrow"/>
        <family val="2"/>
      </rPr>
      <t>دراسة تقييم 17 نظامًا (2 خبير محلي و5 خبراء أجانب).</t>
    </r>
  </si>
  <si>
    <r>
      <rPr>
        <sz val="8"/>
        <rFont val="Arial Narrow"/>
        <family val="2"/>
      </rPr>
      <t>تدريب موظفي الوزارات على استخدام النماذج القياسية (4 دورات تدريبية × 20 شخصًا في الدورة × 3 أيام تدريب).</t>
    </r>
  </si>
  <si>
    <r>
      <rPr>
        <sz val="8"/>
        <rFont val="Arial Narrow"/>
        <family val="2"/>
      </rPr>
      <t>تدريب 500 موظف مختص بإدارة الموارد البشرية (20 دورة تدريبية إجمالًا؛ 3 أيام تدريب × 25 شخصًا في الدورة).</t>
    </r>
  </si>
  <si>
    <r>
      <rPr>
        <sz val="8"/>
        <rFont val="Arial Narrow"/>
        <family val="2"/>
      </rPr>
      <t>إتمام تحليل طريقة عمل نظام معلومات إدارة الموارد البشرية.</t>
    </r>
  </si>
  <si>
    <r>
      <rPr>
        <sz val="8"/>
        <rFont val="Arial Narrow"/>
        <family val="2"/>
      </rPr>
      <t>صيانة النظام (50 شخصًا يتم تدريبهم كل سنتين - اختصاصيون جدد في إدارة الموارد البشرية).</t>
    </r>
  </si>
  <si>
    <r>
      <rPr>
        <sz val="8"/>
        <rFont val="Arial Narrow"/>
        <family val="2"/>
      </rPr>
      <t>تأسيس نظام للتطوير المهني في مجال الخدمة المدنية (IPA A.1.4).</t>
    </r>
  </si>
  <si>
    <r>
      <rPr>
        <sz val="8"/>
        <rFont val="Arial Narrow"/>
        <family val="2"/>
      </rPr>
      <t>دراسة تقييم نظام الأجور</t>
    </r>
  </si>
  <si>
    <r>
      <rPr>
        <sz val="8"/>
        <rFont val="Arial Narrow"/>
        <family val="2"/>
      </rPr>
      <t xml:space="preserve">إعداد مسودة الاستراتيجية. </t>
    </r>
  </si>
  <si>
    <r>
      <rPr>
        <sz val="8"/>
        <rFont val="Arial Narrow"/>
        <family val="2"/>
      </rPr>
      <t xml:space="preserve">تبني الهيكل الجديد للأجور. </t>
    </r>
  </si>
  <si>
    <r>
      <rPr>
        <sz val="8"/>
        <rFont val="Arial Narrow"/>
        <family val="2"/>
      </rPr>
      <t>سيتم تحديد التكلفة بعد اكتمال الدراسة واعتماد الاستراتيجية الجديدة.</t>
    </r>
  </si>
  <si>
    <r>
      <rPr>
        <sz val="8"/>
        <color indexed="8"/>
        <rFont val="Arial Narrow"/>
        <family val="2"/>
      </rPr>
      <t>التصنيف الجديد للأجور وتعديل قانون نسب الأجور.</t>
    </r>
  </si>
  <si>
    <r>
      <rPr>
        <b/>
        <i/>
        <sz val="8"/>
        <rFont val="Arial Narrow"/>
        <family val="2"/>
      </rPr>
      <t>خدمات استشارية مختلفة (المساعدة التقنية)</t>
    </r>
  </si>
  <si>
    <r>
      <rPr>
        <b/>
        <i/>
        <sz val="8"/>
        <rFont val="Arial Narrow"/>
        <family val="2"/>
      </rPr>
      <t>الأجر</t>
    </r>
  </si>
  <si>
    <r>
      <rPr>
        <b/>
        <i/>
        <sz val="8"/>
        <rFont val="Arial Narrow"/>
        <family val="2"/>
      </rPr>
      <t>تكلفة الشخص الواحد (قهوة / مشروبات وأطعمة)</t>
    </r>
  </si>
  <si>
    <r>
      <rPr>
        <b/>
        <i/>
        <sz val="8"/>
        <rFont val="Arial Narrow"/>
        <family val="2"/>
      </rPr>
      <t xml:space="preserve">متوسط سعر السكن / ليلة </t>
    </r>
  </si>
  <si>
    <r>
      <rPr>
        <sz val="8"/>
        <rFont val="Arial Narrow"/>
        <family val="2"/>
      </rPr>
      <t>طريقة عمل مفوض الخدمة المدنية</t>
    </r>
  </si>
  <si>
    <r>
      <rPr>
        <sz val="8"/>
        <rFont val="Arial Narrow"/>
        <family val="2"/>
      </rPr>
      <t xml:space="preserve"> نشر مجموعة المؤشرات الخاصة بإدارة الموارد البشرية في الخدمة المدنية كل سنة على الموقع الإلكتروني لدائرة الإدارة العامة. (كل سنة اعتبارًا من 2015) </t>
    </r>
  </si>
  <si>
    <r>
      <rPr>
        <b/>
        <sz val="8"/>
        <rFont val="Arial"/>
        <family val="2"/>
      </rPr>
      <t xml:space="preserve">الجدول 1: </t>
    </r>
    <r>
      <rPr>
        <b/>
        <sz val="8"/>
        <rFont val="Arial"/>
        <family val="2"/>
      </rPr>
      <t>إعداد تقدير تكلفة استراتيجية الإصلاح الشامل للإدارة العامة - ASPA</t>
    </r>
  </si>
  <si>
    <r>
      <rPr>
        <b/>
        <sz val="8"/>
        <rFont val="Arial"/>
        <family val="2"/>
      </rPr>
      <t>هدف الاستراتيجية وغايتها</t>
    </r>
  </si>
  <si>
    <r>
      <rPr>
        <b/>
        <sz val="8"/>
        <rFont val="Arial"/>
        <family val="2"/>
      </rPr>
      <t>العدد</t>
    </r>
  </si>
  <si>
    <r>
      <rPr>
        <b/>
        <sz val="8"/>
        <rFont val="Arial"/>
        <family val="2"/>
      </rPr>
      <t>أجر المدرب / يوم</t>
    </r>
  </si>
  <si>
    <r>
      <rPr>
        <b/>
        <sz val="8"/>
        <rFont val="Arial"/>
        <family val="2"/>
      </rPr>
      <t xml:space="preserve">الاستثمارات  </t>
    </r>
  </si>
  <si>
    <r>
      <rPr>
        <b/>
        <sz val="8"/>
        <rFont val="Arial"/>
        <family val="2"/>
      </rPr>
      <t>المبني</t>
    </r>
  </si>
  <si>
    <r>
      <rPr>
        <b/>
        <sz val="8"/>
        <rFont val="Arial"/>
        <family val="2"/>
      </rPr>
      <t>متوسط السعر / وحدة</t>
    </r>
  </si>
  <si>
    <r>
      <rPr>
        <b/>
        <i/>
        <sz val="10"/>
        <rFont val="Arial"/>
        <family val="2"/>
      </rPr>
      <t xml:space="preserve">مصادر التمويل (حسب المخرجات) </t>
    </r>
  </si>
  <si>
    <r>
      <rPr>
        <b/>
        <sz val="8"/>
        <rFont val="Arial"/>
        <family val="2"/>
      </rPr>
      <t xml:space="preserve">تخصيص الميزانية على مر السنوات </t>
    </r>
  </si>
  <si>
    <r>
      <rPr>
        <b/>
        <sz val="8"/>
        <rFont val="Arial"/>
        <family val="2"/>
      </rPr>
      <t>التكلفة المقدرة للنشاط</t>
    </r>
  </si>
  <si>
    <r>
      <rPr>
        <b/>
        <sz val="8"/>
        <rFont val="Arial"/>
        <family val="2"/>
      </rPr>
      <t>ميزانية الدولة (برنامج الميزانيات متوسطة المدى 2015-2017)</t>
    </r>
  </si>
  <si>
    <r>
      <rPr>
        <b/>
        <sz val="8"/>
        <rFont val="Arial"/>
        <family val="2"/>
      </rPr>
      <t xml:space="preserve">توفير التدريب لتلبية الطلب المتزايد على خبراء التدريب حسب حالة الدولة المرشحة كما تسلمتها ألبانيا. </t>
    </r>
  </si>
  <si>
    <r>
      <rPr>
        <sz val="8"/>
        <rFont val="Arial"/>
        <family val="2"/>
      </rPr>
      <t xml:space="preserve">تحديث وتطوير سلسلة من أنشطة الوحدات والبرامج تعكس المطالب والاحتياجات المتغيرة لقانون موظفي الخدمة المدنية. </t>
    </r>
  </si>
  <si>
    <r>
      <rPr>
        <sz val="8"/>
        <rFont val="Arial"/>
        <family val="2"/>
      </rPr>
      <t xml:space="preserve">تحديد الاحتياجات التدريبية بصفة دورية من خلال تحليل الاحتياجات التدريبية.  </t>
    </r>
  </si>
  <si>
    <r>
      <rPr>
        <sz val="8"/>
        <rFont val="Arial"/>
        <family val="2"/>
      </rPr>
      <t xml:space="preserve"> زيادة عدد البرامج التدريبية في مجال التكامل الأوروبي.  </t>
    </r>
  </si>
  <si>
    <r>
      <rPr>
        <sz val="8"/>
        <rFont val="Arial"/>
        <family val="2"/>
      </rPr>
      <t xml:space="preserve">تحديث وتطوير مجموعة المدربين المتخصصين - سيتم تحقيق ذلك من خلال التحديث المستمر لقاعدة بيانات الخبراء المحتملين ومن خلال برامج التطوير المهني في محل العمل. </t>
    </r>
  </si>
  <si>
    <r>
      <rPr>
        <sz val="8"/>
        <rFont val="Arial"/>
        <family val="2"/>
      </rPr>
      <t xml:space="preserve">الانتهاء من إعداد نموذج التطوير المهني المستمر مدى الحياة في الخدمة المدنية. </t>
    </r>
  </si>
  <si>
    <r>
      <rPr>
        <sz val="8"/>
        <rFont val="Arial"/>
        <family val="2"/>
      </rPr>
      <t>إعداد المقررات التدريبية (للدورات الأساسية والتخصصية) واعتمادها مع أهداف البرنامج والأهداف التعليمية ومعايير التقييم.</t>
    </r>
  </si>
  <si>
    <r>
      <rPr>
        <sz val="8"/>
        <rFont val="Arial"/>
        <family val="2"/>
      </rPr>
      <t>يتم تنفيذ الدورات حسب الحاجة</t>
    </r>
  </si>
  <si>
    <r>
      <rPr>
        <sz val="8"/>
        <color indexed="10"/>
        <rFont val="Arial"/>
        <family val="2"/>
      </rPr>
      <t xml:space="preserve">تحديد الاحتياجات التدريبية الخاصة والمجموعات المستهدفة. </t>
    </r>
  </si>
  <si>
    <r>
      <rPr>
        <sz val="8"/>
        <color indexed="8"/>
        <rFont val="Arial"/>
        <family val="2"/>
      </rPr>
      <t>تغيير النسبة المئوية للبرامج ذات المحتوى الذي ينتمي للاتحاد الأوروبي من 35% إلى 50% من 2015 إلى 2020.</t>
    </r>
  </si>
  <si>
    <r>
      <rPr>
        <sz val="8"/>
        <color indexed="8"/>
        <rFont val="Arial"/>
        <family val="2"/>
      </rPr>
      <t>الانتهاء من إعداد قاعدة البيانات وتشغيلها بكامل طاقتها</t>
    </r>
  </si>
  <si>
    <r>
      <rPr>
        <sz val="8"/>
        <color indexed="8"/>
        <rFont val="Arial"/>
        <family val="2"/>
      </rPr>
      <t>الانتهاء من إعداد برنامج التطوير في المؤسسات.</t>
    </r>
  </si>
  <si>
    <r>
      <rPr>
        <sz val="8"/>
        <color indexed="8"/>
        <rFont val="Arial"/>
        <family val="2"/>
      </rPr>
      <t xml:space="preserve">تنفيذ برنامج التطوير في 5 مؤسسات على الأقل. </t>
    </r>
  </si>
  <si>
    <r>
      <rPr>
        <b/>
        <sz val="8"/>
        <rFont val="Arial"/>
        <family val="2"/>
      </rPr>
      <t xml:space="preserve">تلبية الاحتياجات المتزايدة باستمرار موظفي الخدمة المدنية في ألبانيا للتدريب. </t>
    </r>
    <r>
      <rPr>
        <b/>
        <sz val="8"/>
        <rFont val="Arial"/>
        <family val="2"/>
      </rPr>
      <t xml:space="preserve">تعد زيادة عدد موظفي الخدمة المدنية عاملًا سيكون له تأثيره في الطلب على التدريب في الخدمة المدنية. </t>
    </r>
  </si>
  <si>
    <r>
      <rPr>
        <sz val="8"/>
        <rFont val="Arial"/>
        <family val="2"/>
      </rPr>
      <t>خطط التدريب الإلزامي أثناء فترة الاختبار.</t>
    </r>
  </si>
  <si>
    <r>
      <rPr>
        <sz val="8"/>
        <rFont val="Arial"/>
        <family val="2"/>
      </rPr>
      <t xml:space="preserve">إعداد الخطط السنوية لتدريب شاغلي المناصب الإدارية المتوسطة والعليا - على أساس نموذج القيادة. </t>
    </r>
  </si>
  <si>
    <r>
      <rPr>
        <sz val="8"/>
        <rFont val="Arial"/>
        <family val="2"/>
      </rPr>
      <t xml:space="preserve">تقييم المنهجيات البديلة لتدريب المديرين بما في ذلك أيضًا المنهجية التي تعتمد على الكفاءة. </t>
    </r>
  </si>
  <si>
    <r>
      <rPr>
        <sz val="8"/>
        <rFont val="Arial"/>
        <family val="2"/>
      </rPr>
      <t>تطوير منصة التعليم الإلكتروني والتدريب الإلكتروني وإعداد البرامج التي تستخدم هذه المنصة.</t>
    </r>
  </si>
  <si>
    <r>
      <rPr>
        <sz val="8"/>
        <color indexed="10"/>
        <rFont val="Arial"/>
        <family val="2"/>
      </rPr>
      <t>تدريب موظفي الخدمة المدنية واختبارهم أثناء فترة الاختبار في الإدارة المركزية.</t>
    </r>
  </si>
  <si>
    <r>
      <rPr>
        <sz val="8"/>
        <color indexed="10"/>
        <rFont val="Arial"/>
        <family val="2"/>
      </rPr>
      <t>تدريب موظفي الخدمة المدنية واختبارهم أثناء فترة الاختبار في الإدارة المحلية.</t>
    </r>
  </si>
  <si>
    <r>
      <rPr>
        <sz val="8"/>
        <color indexed="10"/>
        <rFont val="Arial"/>
        <family val="2"/>
      </rPr>
      <t>الانتهاء من إعداد خطة التدريب السنوية لشاغلي المناصب الإدارية العليا (TMC).</t>
    </r>
  </si>
  <si>
    <r>
      <rPr>
        <sz val="8"/>
        <color indexed="10"/>
        <rFont val="Arial"/>
        <family val="2"/>
      </rPr>
      <t xml:space="preserve">الانتهاء من إعداد الدورات التدريبية لشاغلي المناصب الإدارية العليا. </t>
    </r>
  </si>
  <si>
    <r>
      <rPr>
        <sz val="8"/>
        <color indexed="10"/>
        <rFont val="Arial"/>
        <family val="2"/>
      </rPr>
      <t xml:space="preserve">الانتهاء من إعداد الدورات التدريبية لشاغلي المناصب الإدارية المتوسطة.  </t>
    </r>
  </si>
  <si>
    <r>
      <rPr>
        <sz val="8"/>
        <color indexed="8"/>
        <rFont val="Arial"/>
        <family val="2"/>
      </rPr>
      <t>أبحاث حول المنهجيات البديلة</t>
    </r>
  </si>
  <si>
    <r>
      <rPr>
        <sz val="8"/>
        <rFont val="Arial"/>
        <family val="2"/>
      </rPr>
      <t>إجراء جولات دراسية في الوزارات و3 مؤسسات / مدارس (3 زيارات، شخصان، 5 أيام)</t>
    </r>
  </si>
  <si>
    <r>
      <rPr>
        <sz val="8"/>
        <rFont val="Arial"/>
        <family val="2"/>
      </rPr>
      <t>إجراء دراسة الجدوى لتنفيذ المنصة</t>
    </r>
  </si>
  <si>
    <r>
      <rPr>
        <sz val="8"/>
        <rFont val="Arial"/>
        <family val="2"/>
      </rPr>
      <t>تطوير المنصة في ASPA والتنفيذ التجريبي لعدد 3 دورات تدريبية</t>
    </r>
  </si>
  <si>
    <r>
      <rPr>
        <sz val="8"/>
        <rFont val="Arial"/>
        <family val="2"/>
      </rPr>
      <t>تنفيذ 30% من المنهج التدريبي من خلال منصة التعليم الإلكتروني</t>
    </r>
  </si>
  <si>
    <r>
      <rPr>
        <sz val="8"/>
        <color indexed="8"/>
        <rFont val="Arial"/>
        <family val="2"/>
      </rPr>
      <t xml:space="preserve">تحديث قاعدة بيانات "عملاء" ASPA </t>
    </r>
  </si>
  <si>
    <r>
      <rPr>
        <sz val="8"/>
        <rFont val="Arial"/>
        <family val="2"/>
      </rPr>
      <t>تكلفة إضافية</t>
    </r>
  </si>
  <si>
    <r>
      <rPr>
        <sz val="8"/>
        <rFont val="Arial"/>
        <family val="2"/>
      </rPr>
      <t>سيتم تقدير السفريات</t>
    </r>
  </si>
  <si>
    <r>
      <rPr>
        <b/>
        <sz val="8"/>
        <rFont val="Arial"/>
        <family val="2"/>
      </rPr>
      <t xml:space="preserve">الانتقال من ثقافة رقابة الموارد في الخدمة المدنية إلى النموذج الحديث المتمثل في توفير خدمة تعتمد على طلب العميل. </t>
    </r>
  </si>
  <si>
    <r>
      <rPr>
        <sz val="8"/>
        <rFont val="Arial"/>
        <family val="2"/>
      </rPr>
      <t xml:space="preserve">تحسين نظام التغذية الراجعة عمومًا لتوفير بيانات ومعلومات كافية بخصوص أثر التدريب. </t>
    </r>
  </si>
  <si>
    <r>
      <rPr>
        <sz val="8"/>
        <rFont val="Arial"/>
        <family val="2"/>
      </rPr>
      <t>الانتهاء من تكوين مجموعات النقاش مع مديري دوائر الموارد البشرية في الوزارات ومؤسسات الإدارة المركزية.</t>
    </r>
  </si>
  <si>
    <r>
      <rPr>
        <sz val="8"/>
        <rFont val="Arial"/>
        <family val="2"/>
      </rPr>
      <t xml:space="preserve">الانتهاء من تكوين مجموعات النقاش مع مديري دوائر الموارد البشرية في الإدارة المحلية والمؤسسات المستقلة. </t>
    </r>
  </si>
  <si>
    <r>
      <rPr>
        <sz val="8"/>
        <color indexed="8"/>
        <rFont val="Arial"/>
        <family val="2"/>
      </rPr>
      <t>مراجعة الإجراءات واللوائح وتعديلها وفقًا للنموذج المعتمد على العميل.</t>
    </r>
  </si>
  <si>
    <r>
      <rPr>
        <sz val="8"/>
        <rFont val="Arial"/>
        <family val="2"/>
      </rPr>
      <t xml:space="preserve">الانتهاء من إعداد طريقة واستبيان أثر التدريب. </t>
    </r>
  </si>
  <si>
    <r>
      <rPr>
        <sz val="8"/>
        <rFont val="Arial"/>
        <family val="2"/>
      </rPr>
      <t>الانتهاء من تحديد الأهداف المتعلقة برضا العملاء لكافة الدورات التدريبية.</t>
    </r>
  </si>
  <si>
    <r>
      <rPr>
        <sz val="8"/>
        <color indexed="8"/>
        <rFont val="Arial"/>
        <family val="2"/>
      </rPr>
      <t>تنفيذ عمليات التقييم المستقلة والموضوعية بصفة دورية (مرة واحدة كل سنتين على الأقل).</t>
    </r>
  </si>
  <si>
    <r>
      <rPr>
        <b/>
        <sz val="8"/>
        <rFont val="Arial"/>
        <family val="2"/>
      </rPr>
      <t>التحول إلى مركز التميز لتدريب موظفي الخدمة المدنية والقطاع العام على مستوى وطني ودولي.</t>
    </r>
  </si>
  <si>
    <r>
      <rPr>
        <sz val="8"/>
        <rFont val="Arial"/>
        <family val="2"/>
      </rPr>
      <t xml:space="preserve">العمل على الوصول إلى وضع مركز التميز على مستوى وطني ودولي. </t>
    </r>
  </si>
  <si>
    <r>
      <rPr>
        <sz val="8"/>
        <rFont val="Arial"/>
        <family val="2"/>
      </rPr>
      <t>الانتهاء من إجراء أبحاث والانضمام إلى اثنتين على الأقل من الشبكات الدولية.</t>
    </r>
  </si>
  <si>
    <r>
      <rPr>
        <sz val="8"/>
        <color indexed="8"/>
        <rFont val="Arial"/>
        <family val="2"/>
      </rPr>
      <t>حضور أنشطة ومؤتمرات دولية.</t>
    </r>
  </si>
  <si>
    <r>
      <rPr>
        <sz val="8"/>
        <color indexed="8"/>
        <rFont val="Arial"/>
        <family val="2"/>
      </rPr>
      <t>التوصل إلى مذكرة تفاهم واتفاقية اعتماد.</t>
    </r>
  </si>
  <si>
    <r>
      <rPr>
        <sz val="8"/>
        <rFont val="Arial"/>
        <family val="2"/>
      </rPr>
      <t>الانتهاء من الحصول على الاعتماد الوطني والدولي.</t>
    </r>
  </si>
  <si>
    <r>
      <rPr>
        <b/>
        <sz val="8"/>
        <rFont val="Arial"/>
        <family val="2"/>
      </rPr>
      <t xml:space="preserve">بناء القدرات والمهارات الداخلية لموارد ASPA وإدارة تلك الموارد.  </t>
    </r>
  </si>
  <si>
    <r>
      <rPr>
        <sz val="8"/>
        <rFont val="Arial"/>
        <family val="2"/>
      </rPr>
      <t xml:space="preserve">تطوير النظم التي تضمن إدارة كافة الموارد بفعالية وكفاءة بأقل تكلفة. </t>
    </r>
  </si>
  <si>
    <r>
      <rPr>
        <sz val="8"/>
        <rFont val="Arial"/>
        <family val="2"/>
      </rPr>
      <t xml:space="preserve">تطوير نظام حديث لإدارة قاعدة البيانات ضمن إطار نظام معلومات إدارة الموارد البشرية. </t>
    </r>
  </si>
  <si>
    <r>
      <rPr>
        <sz val="8"/>
        <rFont val="Arial"/>
        <family val="2"/>
      </rPr>
      <t xml:space="preserve">تطوير مكتبة ASPA والمضي قدمًا نحو تأسيس مركز للمعلومات الإدارية. </t>
    </r>
  </si>
  <si>
    <r>
      <rPr>
        <sz val="8"/>
        <rFont val="Arial"/>
        <family val="2"/>
      </rPr>
      <t>التأكد من تواجد منشآت ASPA في مبنى يناسب الغرض منها.</t>
    </r>
  </si>
  <si>
    <r>
      <rPr>
        <sz val="8"/>
        <rFont val="Arial"/>
        <family val="2"/>
      </rPr>
      <t>تقييم الموقف الراهن عن طريق مقارنته بخطة الأعمال ونموذج مختار لتحليل التنظيم.</t>
    </r>
  </si>
  <si>
    <r>
      <rPr>
        <sz val="8"/>
        <rFont val="Arial"/>
        <family val="2"/>
      </rPr>
      <t>تعريف الدورة الإدارية التي ستتكرر كل سنة على الأقل.</t>
    </r>
  </si>
  <si>
    <r>
      <rPr>
        <sz val="8"/>
        <rFont val="Arial"/>
        <family val="2"/>
      </rPr>
      <t>الانتهاء من إنشاء نظام المعلومات الإدارية الحديث.</t>
    </r>
  </si>
  <si>
    <r>
      <rPr>
        <sz val="8"/>
        <rFont val="Arial"/>
        <family val="2"/>
      </rPr>
      <t>الانتهاء من توسيع مكتبة ASPA وتحولها إلى مركز للمعلومات الإدارية.</t>
    </r>
  </si>
  <si>
    <r>
      <rPr>
        <sz val="8"/>
        <rFont val="Arial"/>
        <family val="2"/>
      </rPr>
      <t>الانتهاء من شراء الأجهزة والمواد الحاسوبية الضرورية لتطوير مركز المعلومات الإدارية.</t>
    </r>
  </si>
  <si>
    <r>
      <rPr>
        <sz val="8"/>
        <rFont val="Arial"/>
        <family val="2"/>
      </rPr>
      <t>الانتهاء من تنفيذ عملية إعادة الهيكلة الكاملة وتوفيرها بالمعدات الضرورية لممارسة الأنشطة.</t>
    </r>
  </si>
  <si>
    <r>
      <rPr>
        <sz val="8"/>
        <rFont val="Arial"/>
        <family val="2"/>
      </rPr>
      <t xml:space="preserve">رسم الاعتماد </t>
    </r>
  </si>
  <si>
    <r>
      <rPr>
        <b/>
        <sz val="8"/>
        <rFont val="Arial"/>
        <family val="2"/>
      </rPr>
      <t>تكلفة الشخص الواحد (قهوة / مشروبات وأطعمة)</t>
    </r>
  </si>
  <si>
    <r>
      <rPr>
        <b/>
        <sz val="8"/>
        <rFont val="Arial"/>
        <family val="2"/>
      </rPr>
      <t xml:space="preserve">متوسط سعر السكن / ليلة </t>
    </r>
  </si>
  <si>
    <r>
      <rPr>
        <b/>
        <sz val="8"/>
        <color indexed="8"/>
        <rFont val="Arial"/>
        <family val="2"/>
      </rPr>
      <t xml:space="preserve">مصاريف المستلزمات والخدمات  </t>
    </r>
  </si>
  <si>
    <r>
      <rPr>
        <b/>
        <sz val="9"/>
        <rFont val="Calibri"/>
        <family val="2"/>
      </rPr>
      <t xml:space="preserve">مصاريف المعلومات العامة (المطبوعات)   </t>
    </r>
  </si>
  <si>
    <r>
      <rPr>
        <b/>
        <sz val="9"/>
        <rFont val="Calibri"/>
        <family val="2"/>
      </rPr>
      <t xml:space="preserve">المباني </t>
    </r>
  </si>
  <si>
    <r>
      <rPr>
        <b/>
        <sz val="8"/>
        <rFont val="Arial"/>
        <family val="2"/>
      </rPr>
      <t xml:space="preserve">مصاريف أخرى (عارضة وطارئة) </t>
    </r>
  </si>
  <si>
    <r>
      <rPr>
        <b/>
        <sz val="8"/>
        <rFont val="Arial"/>
        <family val="2"/>
      </rPr>
      <t xml:space="preserve">التبرعات </t>
    </r>
  </si>
  <si>
    <r>
      <rPr>
        <sz val="8"/>
        <rFont val="Arial"/>
        <family val="2"/>
      </rPr>
      <t>تحليل تقييم الموقف.</t>
    </r>
  </si>
  <si>
    <r>
      <rPr>
        <sz val="8"/>
        <rFont val="Arial"/>
        <family val="2"/>
      </rPr>
      <t>مراجعة طريقة عمل المجموعات الشاملة الأخرى في مجموعات السياسات الإدارية المتكاملة (IMPG) (بما في ذلك دورة برمجة السياسات بأكملها - التنفيذ - المتابعة)</t>
    </r>
  </si>
  <si>
    <r>
      <rPr>
        <sz val="8"/>
        <rFont val="Arial"/>
        <family val="2"/>
      </rPr>
      <t>المساعدة في التطبيق التجريبي لمجموعات السياسات الإدارية المتكاملة (المياه والاجتماعية والتنافسية)</t>
    </r>
  </si>
  <si>
    <r>
      <rPr>
        <sz val="8"/>
        <rFont val="Arial"/>
        <family val="2"/>
      </rPr>
      <t>المساعدة في تشغيل المجموعات الأخرى للسياسات الإدارية المتكاملة</t>
    </r>
  </si>
  <si>
    <r>
      <rPr>
        <sz val="8"/>
        <rFont val="Arial"/>
        <family val="2"/>
      </rPr>
      <t xml:space="preserve">إعداد برنامج تدريبي لكافة موظفي صنع السياسات في الوزارات المباشرة (دوائر السياسة والتنسيق) على إعداد الوثائق الاستراتيجية والسياسات. </t>
    </r>
  </si>
  <si>
    <r>
      <rPr>
        <sz val="8"/>
        <rFont val="Arial"/>
        <family val="2"/>
      </rPr>
      <t>تنفيذ البرنامج التدريبي لكافة موظفي صنع السياسات في الوزارات المباشرة (دوائر السياسة والتنسيق)</t>
    </r>
  </si>
  <si>
    <r>
      <rPr>
        <sz val="8"/>
        <rFont val="Arial"/>
        <family val="2"/>
      </rPr>
      <t>طباعة الخطط الإدارية الشاملة</t>
    </r>
  </si>
  <si>
    <r>
      <rPr>
        <sz val="8"/>
        <rFont val="Arial"/>
        <family val="2"/>
      </rPr>
      <t xml:space="preserve">المساعدة التقنية  </t>
    </r>
  </si>
  <si>
    <r>
      <rPr>
        <sz val="8"/>
        <rFont val="Arial"/>
        <family val="2"/>
      </rPr>
      <t xml:space="preserve">المساعدة التقنية </t>
    </r>
  </si>
  <si>
    <r>
      <rPr>
        <sz val="8"/>
        <rFont val="Arial"/>
        <family val="2"/>
      </rPr>
      <t xml:space="preserve">10 وثائق استراتيجية على الأقل </t>
    </r>
  </si>
  <si>
    <r>
      <rPr>
        <sz val="8"/>
        <rFont val="Arial"/>
        <family val="2"/>
      </rPr>
      <t>لعدد 19 وزارة</t>
    </r>
  </si>
  <si>
    <r>
      <rPr>
        <sz val="8"/>
        <rFont val="Arial"/>
        <family val="2"/>
      </rPr>
      <t xml:space="preserve">تحليل متوسط المدى لتنفيذ الاستراتيجية الوطنية للتنمية والتكامل 2014 -2020 </t>
    </r>
  </si>
  <si>
    <r>
      <rPr>
        <sz val="8"/>
        <rFont val="Arial"/>
        <family val="2"/>
      </rPr>
      <t xml:space="preserve">مراجعة الإطار المؤسسي والقانوني ذي الصلة (إعداد أمر جديد ودليل نظام التخطيط الشامل ومراجعة التقويم السنوي لنظام التخطيط الشامل) </t>
    </r>
  </si>
  <si>
    <r>
      <rPr>
        <sz val="8"/>
        <rFont val="Arial"/>
        <family val="2"/>
      </rPr>
      <t>تطبيق النظام الجديد وبناء القدرات</t>
    </r>
  </si>
  <si>
    <r>
      <rPr>
        <sz val="8"/>
        <rFont val="Arial"/>
        <family val="2"/>
      </rPr>
      <t xml:space="preserve">الموظفون المعينون </t>
    </r>
  </si>
  <si>
    <r>
      <rPr>
        <sz val="8"/>
        <rFont val="Arial"/>
        <family val="2"/>
      </rPr>
      <t>جولات دراسية لاكتساب ممارسات وتجارب من الدول الأخرى.</t>
    </r>
  </si>
  <si>
    <r>
      <rPr>
        <sz val="8"/>
        <rFont val="Arial"/>
        <family val="2"/>
      </rPr>
      <t>1-3 مراجعة نظام التخطيط المتكامل بعد الانتهاء من تنفيذ تحليل تقييم الموقف والإطار المؤسسي القائم.</t>
    </r>
  </si>
  <si>
    <r>
      <rPr>
        <sz val="8"/>
        <rFont val="Arial"/>
        <family val="2"/>
      </rPr>
      <t>1-4 بناء قدرات دائرة تطوير البرامج والشؤون المالية والمساعدات الخارجية فيما يتعلق بالتخطيط الاستراتيجي وتخطيط السياسات العامة على أساس تقييم الاحتياجات التدريبية الذي تم تنفيذه.</t>
    </r>
  </si>
  <si>
    <r>
      <rPr>
        <sz val="8"/>
        <rFont val="Arial"/>
        <family val="2"/>
      </rPr>
      <t>الإجمالي 2 دورة تدريبية سنويّا</t>
    </r>
  </si>
  <si>
    <r>
      <rPr>
        <b/>
        <sz val="8"/>
        <color indexed="60"/>
        <rFont val="Arial"/>
        <family val="2"/>
      </rPr>
      <t>تندرج الميزانية المحددة لهذا النشاط ضمن إطار استراتيجية إدارة الماليات العامة</t>
    </r>
  </si>
  <si>
    <r>
      <rPr>
        <sz val="8"/>
        <color indexed="8"/>
        <rFont val="Arial"/>
        <family val="2"/>
      </rPr>
      <t>تأسيس IPSIS</t>
    </r>
  </si>
  <si>
    <r>
      <rPr>
        <sz val="8"/>
        <rFont val="Arial"/>
        <family val="2"/>
      </rPr>
      <t>1-5 بناء قدرات المؤسسات المركزية بعد تقييم احتياجاتها المتعلقة بالتخطيط الاستراتيجي وتخطيط السياسات العامة (بالإضافة إلى استخدام IPSIS ونظام المعلومات IPSIS).</t>
    </r>
  </si>
  <si>
    <r>
      <rPr>
        <sz val="8"/>
        <rFont val="Arial"/>
        <family val="2"/>
      </rPr>
      <t>تدريب موظفي المؤسسات المركزية على إدارة نظام IPSIS وصيانته.</t>
    </r>
  </si>
  <si>
    <r>
      <rPr>
        <sz val="8"/>
        <rFont val="Arial"/>
        <family val="2"/>
      </rPr>
      <t>1.6. تأسيس نظام المعلومات الإدارية المالية الألباني (AFMIS) وبناء القدرات الخاصة بالرقابة المالية.</t>
    </r>
  </si>
  <si>
    <r>
      <rPr>
        <sz val="8"/>
        <rFont val="Arial"/>
        <family val="2"/>
      </rPr>
      <t xml:space="preserve">بناء قدرات وزارة المالية على إدارة نظام المعلومات الإدارية المالية الألباني. </t>
    </r>
  </si>
  <si>
    <r>
      <rPr>
        <sz val="8"/>
        <rFont val="Arial"/>
        <family val="2"/>
      </rPr>
      <t>1.6. بناء قدرات الإدارة المركزية على إعداد برنامج الميزانية متوسطة الأجل (MTBP).</t>
    </r>
  </si>
  <si>
    <r>
      <rPr>
        <sz val="8"/>
        <rFont val="Arial"/>
        <family val="2"/>
      </rPr>
      <t xml:space="preserve">بناء قدرة المؤسسات فيما يتعلق ببرنامج الميزانية متوسطة الأجل. </t>
    </r>
  </si>
  <si>
    <r>
      <rPr>
        <sz val="8"/>
        <rFont val="Arial"/>
        <family val="2"/>
      </rPr>
      <t xml:space="preserve">بناء قدرات الوزارات المباشرة من خلال تنفيذ برنامج التدريب على التخطيط الاستراتيجي.  </t>
    </r>
  </si>
  <si>
    <r>
      <rPr>
        <sz val="8"/>
        <rFont val="Arial"/>
        <family val="2"/>
      </rPr>
      <t xml:space="preserve">بناء القدرات البشرية لوحدة التخطيط الاستراتيجي لضمان القيادة والتوجيه المناسبين لإعداد ومتابعة الوثائق الاستراتيجية. </t>
    </r>
  </si>
  <si>
    <r>
      <rPr>
        <sz val="8"/>
        <rFont val="Arial"/>
        <family val="2"/>
      </rPr>
      <t>تقييم الموقف من حيث عمل مجموعات الإدارة الاستراتيجية.</t>
    </r>
  </si>
  <si>
    <r>
      <rPr>
        <sz val="8"/>
        <rFont val="Arial"/>
        <family val="2"/>
      </rPr>
      <t>1-9 بناء قدرات مجموعة الإدارة الاستراتيجية وتحسين عملها كهيكل للتنسيق في كل وزارة والمجموعات التي تنتمي لأكثر من قطاع في إطار المجموعات المتكاملة لإدارة السياسات.</t>
    </r>
  </si>
  <si>
    <r>
      <rPr>
        <sz val="8"/>
        <rFont val="Arial"/>
        <family val="2"/>
      </rPr>
      <t>تعديل الإطار القانوني والمؤسسي المناسب لطريقة عمل مجموعات الإدارة الاستراتيجية (SMGs).</t>
    </r>
  </si>
  <si>
    <r>
      <rPr>
        <sz val="8"/>
        <rFont val="Arial"/>
        <family val="2"/>
      </rPr>
      <t xml:space="preserve">إعداد البرنامج التدريبي لشاغلي المناصب الإدارية العليا فيما يتعلق بدورة إدارة السياسات العامة. </t>
    </r>
  </si>
  <si>
    <r>
      <rPr>
        <sz val="8"/>
        <rFont val="Arial"/>
        <family val="2"/>
      </rPr>
      <t xml:space="preserve">بناء قدرات شاغلي المناصب الإدارية العليا بالوزارات المباشرة من خلال تنفيذ برنامج التدريب على دورة إدارة السياسات العامة.  </t>
    </r>
  </si>
  <si>
    <r>
      <rPr>
        <sz val="8"/>
        <rFont val="Arial"/>
        <family val="2"/>
      </rPr>
      <t>تحليل الموقف الراهن للأشخاص وفقًا لمعايير التوظيف والخرائط التنظيمية والوصف الوظيفي لكل منهم.</t>
    </r>
  </si>
  <si>
    <r>
      <rPr>
        <sz val="8"/>
        <rFont val="Arial"/>
        <family val="2"/>
      </rPr>
      <t xml:space="preserve">معايير أكثر صرامة لتعيين الأشخاص الذين سيباشرون عملية صنع القوانين. </t>
    </r>
  </si>
  <si>
    <r>
      <rPr>
        <sz val="8"/>
        <rFont val="Arial"/>
        <family val="2"/>
      </rPr>
      <t>8-3 تنظيم دراسة عن إمكانيات توفير الخدمات مباشرة:</t>
    </r>
  </si>
  <si>
    <r>
      <rPr>
        <sz val="8"/>
        <rFont val="Arial"/>
        <family val="2"/>
      </rPr>
      <t xml:space="preserve">تبني اللوائح الداخلية لتسهيل إجراء المشاورات. </t>
    </r>
  </si>
  <si>
    <r>
      <rPr>
        <sz val="8"/>
        <rFont val="Arial"/>
        <family val="2"/>
      </rPr>
      <t xml:space="preserve"> تأسيس قاعدة بيانات للجهات المعنية. </t>
    </r>
  </si>
  <si>
    <r>
      <rPr>
        <sz val="8"/>
        <rFont val="Arial"/>
        <family val="2"/>
      </rPr>
      <t>التكملة باللوائح الداخلية وضمان تطبيق القانون بمجرد إخطار العامة واستشارتهم:</t>
    </r>
  </si>
  <si>
    <r>
      <rPr>
        <sz val="8"/>
        <rFont val="Arial"/>
        <family val="2"/>
      </rPr>
      <t>تدريب الأشخاص المسؤولين عن الاستشارات.</t>
    </r>
  </si>
  <si>
    <r>
      <rPr>
        <sz val="8"/>
        <rFont val="Arial"/>
        <family val="2"/>
      </rPr>
      <t xml:space="preserve">  RIA - تبني مشروع القانون للالتزام بالتحليل المذكور.</t>
    </r>
  </si>
  <si>
    <r>
      <rPr>
        <sz val="8"/>
        <rFont val="Arial"/>
        <family val="2"/>
      </rPr>
      <t>تحسين إجراء تنفيذ دراسات تقييم الأثر المتوقع وتقييمات الامتثال ل Acquis مع ربط القوانين التنظيمية بالسياسات في الدولة:</t>
    </r>
  </si>
  <si>
    <r>
      <rPr>
        <sz val="8"/>
        <rFont val="Arial"/>
        <family val="2"/>
      </rPr>
      <t xml:space="preserve">والانتهاء من تنفيذ / اختبار X RIA بموجب مشروع القانون الذي تم تبنيه ( تطبيق تجريبي في × مؤسسة لعدد × من القضايا). </t>
    </r>
  </si>
  <si>
    <r>
      <rPr>
        <sz val="8"/>
        <rFont val="Arial"/>
        <family val="2"/>
      </rPr>
      <t>التدريب من خلال ASPA</t>
    </r>
  </si>
  <si>
    <r>
      <rPr>
        <sz val="8"/>
        <rFont val="Arial"/>
        <family val="2"/>
      </rPr>
      <t>تعزيز شفافية المطبوعات التشريعية:</t>
    </r>
  </si>
  <si>
    <r>
      <rPr>
        <sz val="8"/>
        <rFont val="Arial"/>
        <family val="2"/>
      </rPr>
      <t xml:space="preserve">سيتم نشر القوانين الموحدة على الموقع الإلكتروني لكل مؤسسة بحلول 2015. </t>
    </r>
  </si>
  <si>
    <r>
      <rPr>
        <sz val="8"/>
        <rFont val="Arial"/>
        <family val="2"/>
      </rPr>
      <t xml:space="preserve">المساعدة التقنية المحلية لإدخال القوانين في 19 وزارة (2 خبير قانوني في كل وزارة).  </t>
    </r>
  </si>
  <si>
    <r>
      <rPr>
        <sz val="8"/>
        <rFont val="Arial"/>
        <family val="2"/>
      </rPr>
      <t xml:space="preserve">لا تكلفة </t>
    </r>
  </si>
  <si>
    <r>
      <rPr>
        <b/>
        <sz val="8"/>
        <rFont val="Arial"/>
        <family val="2"/>
      </rPr>
      <t>إجمالي الهدف 2</t>
    </r>
  </si>
  <si>
    <r>
      <rPr>
        <sz val="8"/>
        <rFont val="Arial"/>
        <family val="2"/>
      </rPr>
      <t xml:space="preserve">طباعة التقارير السنوية للوزارات المباشرة لتنفيذ الاستراتيجيات القطاعية / الشاملة، والاستراتيجية الوطنية للتنمية والتكامل بالإضافة إلى DPPFFA. </t>
    </r>
  </si>
  <si>
    <r>
      <rPr>
        <sz val="8"/>
        <rFont val="Arial"/>
        <family val="2"/>
      </rPr>
      <t>19 وزارة مباشرة + مجلس الوزراء 2 يوم لكل وزارة 5 أيام لكتابة التحليل + يومان لإضافة التعليقات + 6 أيام (3+3) لإعداد التقارير. (تقريبًا 60 يوم عمل لخبير أجنبي)</t>
    </r>
  </si>
  <si>
    <r>
      <rPr>
        <sz val="8"/>
        <rFont val="Arial"/>
        <family val="2"/>
      </rPr>
      <t>1 خبير أجنبي + 1 محلي</t>
    </r>
  </si>
  <si>
    <r>
      <rPr>
        <sz val="8"/>
        <rFont val="Arial"/>
        <family val="2"/>
      </rPr>
      <t xml:space="preserve">19 وزارة مباشرة + مجلس الوزراء 1.5 يوم لكل وزارة 5 أيام لكتابة التحليل + يومان لإضافة التعليقات + 10 أيام لمناهج التدريب + 3 أيام لإعداد التقارير. (تقريبًا 45 يوم عمل لخبير أجنبي) </t>
    </r>
  </si>
  <si>
    <r>
      <rPr>
        <sz val="8"/>
        <rFont val="Arial"/>
        <family val="2"/>
      </rPr>
      <t>قد لا يمكن تحديد تكلفة هذا النشاط إلا بعد إتمام TNA</t>
    </r>
  </si>
  <si>
    <r>
      <rPr>
        <sz val="8"/>
        <rFont val="Arial"/>
        <family val="2"/>
      </rPr>
      <t>التدريب بناءً على TNA</t>
    </r>
  </si>
  <si>
    <r>
      <rPr>
        <sz val="8"/>
        <rFont val="Arial"/>
        <family val="2"/>
      </rPr>
      <t xml:space="preserve">إجمالي الهدف 3 </t>
    </r>
  </si>
  <si>
    <r>
      <rPr>
        <sz val="8"/>
        <rFont val="Arial"/>
        <family val="2"/>
      </rPr>
      <t>NAIS</t>
    </r>
  </si>
  <si>
    <r>
      <rPr>
        <sz val="8"/>
        <rFont val="Arial"/>
        <family val="2"/>
      </rPr>
      <t>1 خبير أجنبي</t>
    </r>
  </si>
  <si>
    <r>
      <rPr>
        <sz val="8"/>
        <rFont val="Arial"/>
        <family val="2"/>
      </rPr>
      <t>التزام (تعليمات) مركز المطبوعات الرسمية بطباعة القوانين الموحدة.</t>
    </r>
  </si>
  <si>
    <r>
      <rPr>
        <sz val="8"/>
        <color indexed="8"/>
        <rFont val="Arial"/>
        <family val="2"/>
      </rPr>
      <t>وثيقة تحليل فهم تقديرات أثر القوانين المقترحة.</t>
    </r>
  </si>
  <si>
    <r>
      <rPr>
        <sz val="8"/>
        <rFont val="Arial"/>
        <family val="2"/>
      </rPr>
      <t>تحليل تقييم الموقف.</t>
    </r>
  </si>
  <si>
    <r>
      <rPr>
        <b/>
        <i/>
        <sz val="8"/>
        <rFont val="Arial"/>
        <family val="2"/>
      </rPr>
      <t xml:space="preserve">يناظر العدد الجديد لأنشطة الاستراتيجية الإصلاح الشامل للإدارة العامة </t>
    </r>
  </si>
  <si>
    <r>
      <rPr>
        <b/>
        <sz val="8"/>
        <rFont val="Arial"/>
        <family val="2"/>
      </rPr>
      <t>الأنشطة التي لها / ليس لها تكلفة إضافية</t>
    </r>
  </si>
  <si>
    <r>
      <rPr>
        <b/>
        <sz val="8"/>
        <color indexed="8"/>
        <rFont val="Arial"/>
        <family val="2"/>
      </rPr>
      <t xml:space="preserve">مصاريف المستلزمات والخدمات </t>
    </r>
  </si>
  <si>
    <r>
      <rPr>
        <b/>
        <sz val="8"/>
        <rFont val="Arial"/>
        <family val="2"/>
      </rPr>
      <t>التبرعات</t>
    </r>
  </si>
  <si>
    <r>
      <rPr>
        <b/>
        <sz val="10"/>
        <rFont val="Arial Narrow"/>
        <family val="2"/>
      </rPr>
      <t xml:space="preserve">الهدف 5 </t>
    </r>
    <r>
      <rPr>
        <b/>
        <sz val="10"/>
        <rFont val="Arial Narrow"/>
        <family val="2"/>
      </rPr>
      <t>تحسين الخدمة العامة وتركيزها بالحد من أسباب الفساد وتقوية منطلق أخلاقي لتوفير الخدمة العامة.</t>
    </r>
  </si>
  <si>
    <r>
      <rPr>
        <sz val="8"/>
        <rFont val="Arial Narrow"/>
        <family val="2"/>
      </rPr>
      <t>تأسيس مراكز توفير الخدمة كمراكز شاملة:</t>
    </r>
  </si>
  <si>
    <r>
      <rPr>
        <sz val="8"/>
        <rFont val="Arial Narrow"/>
        <family val="2"/>
      </rPr>
      <t>استراتيجية توفير الخدمات العامة</t>
    </r>
  </si>
  <si>
    <r>
      <rPr>
        <sz val="8"/>
        <rFont val="Arial Narrow"/>
        <family val="2"/>
      </rPr>
      <t>تأسيس ADISA وافتتاح 4 مراكز استطلاعية</t>
    </r>
  </si>
  <si>
    <r>
      <rPr>
        <sz val="8"/>
        <rFont val="Arial Narrow"/>
        <family val="2"/>
      </rPr>
      <t>تأسيس البنية التحتية المادية للمركز الشامل وطريقة عمله</t>
    </r>
  </si>
  <si>
    <r>
      <rPr>
        <sz val="8"/>
        <rFont val="Arial Narrow"/>
        <family val="2"/>
      </rPr>
      <t>تغيير الهياكل الإدارية على أساس دراسة إعادة تنظيم المؤسسات العامة</t>
    </r>
  </si>
  <si>
    <r>
      <rPr>
        <sz val="10"/>
        <rFont val="Arial Narrow"/>
        <family val="2"/>
      </rPr>
      <t>تعديل تكوين المؤسسات التي توفر الخدمات العامة وفقًا لنموذج المركز الشامل:</t>
    </r>
  </si>
  <si>
    <r>
      <rPr>
        <sz val="8"/>
        <rFont val="Arial Narrow"/>
        <family val="2"/>
      </rPr>
      <t>تغيير الهياكل الإدارية على أساس دراسة إعادة تنظيم المؤسسات العامة.</t>
    </r>
  </si>
  <si>
    <r>
      <rPr>
        <b/>
        <sz val="10"/>
        <rFont val="Arial Narrow"/>
        <family val="2"/>
      </rPr>
      <t xml:space="preserve">الهدف 8 </t>
    </r>
    <r>
      <rPr>
        <b/>
        <sz val="10"/>
        <rFont val="Arial Narrow"/>
        <family val="2"/>
      </rPr>
      <t>إجراء مبسط لتوفير الخدمات بتسهيل الاتصال مع الجمهور وتجنب الفساد.</t>
    </r>
  </si>
  <si>
    <r>
      <rPr>
        <sz val="8"/>
        <rFont val="Arial Narrow"/>
        <family val="2"/>
      </rPr>
      <t>إعادة هندسة الخدمات العامة - تحديد وتقييم وتعريف الإجراءات القياسية لأكثر من 300 خدمة عامة</t>
    </r>
  </si>
  <si>
    <r>
      <rPr>
        <sz val="8"/>
        <rFont val="Arial Narrow"/>
        <family val="2"/>
      </rPr>
      <t>أدلة تنظيم إجراءات الخدمة يتم صياغتها؛</t>
    </r>
  </si>
  <si>
    <r>
      <rPr>
        <sz val="8"/>
        <rFont val="Arial Narrow"/>
        <family val="2"/>
      </rPr>
      <t>إعادة هندسة الخدمات العامة كإجراء ضروري لتبسيط الإجراءات الإدارية وتخفيض عدد الخطوات التي يتخذها المواطنون وموظفو الدعم:</t>
    </r>
  </si>
  <si>
    <r>
      <rPr>
        <sz val="10"/>
        <rFont val="Arial Narrow"/>
        <family val="2"/>
      </rPr>
      <t>إعادة تنظيم الخدمات التي سيتم توفيرها في المراكز الشاملة بتنظيم العلاقات بين المركز الشامل والمكتب الخلفي.</t>
    </r>
  </si>
  <si>
    <r>
      <rPr>
        <sz val="8"/>
        <rFont val="Arial Narrow"/>
        <family val="2"/>
      </rPr>
      <t>دراسة جدوى نموذج الخدمات التي تركز على المواطن.</t>
    </r>
  </si>
  <si>
    <r>
      <rPr>
        <sz val="8"/>
        <rFont val="Arial Narrow"/>
        <family val="2"/>
      </rPr>
      <t>إجراء دراسة إعادة تنظيم المؤسسات العامة.</t>
    </r>
  </si>
  <si>
    <r>
      <rPr>
        <sz val="10"/>
        <rFont val="Arial Narrow"/>
        <family val="2"/>
      </rPr>
      <t>إزالة عبء تقديم الخدمات مباشرة من على عاتق مؤسسات الإدارة العامة.</t>
    </r>
  </si>
  <si>
    <r>
      <rPr>
        <sz val="8"/>
        <rFont val="Arial Narrow"/>
        <family val="2"/>
      </rPr>
      <t>المراجعة العامة للتشريع الذي يحكم توفير الخدمات العامة لكي يعكس عمليات إعادة الهندسة في الإطار التنظيمي:</t>
    </r>
  </si>
  <si>
    <r>
      <rPr>
        <sz val="8"/>
        <rFont val="Arial Narrow"/>
        <family val="2"/>
      </rPr>
      <t>إتمام دراسة توحيد تحليل الموقف المبدئي (خط الأساس).</t>
    </r>
  </si>
  <si>
    <r>
      <rPr>
        <sz val="8"/>
        <rFont val="Arial Narrow"/>
        <family val="2"/>
      </rPr>
      <t>تحديد المجالات الكلية التي تحتاج إلى التغيير (تحليل الفجوة القانونية).</t>
    </r>
  </si>
  <si>
    <r>
      <rPr>
        <sz val="8"/>
        <rFont val="Arial Narrow"/>
        <family val="2"/>
      </rPr>
      <t>نماذج موحدة ومدونة للخدمات (300 خدمة موحدة تم تدوينها بالكامل بحلول 2015 وكافة الخدمات في 2017).</t>
    </r>
  </si>
  <si>
    <r>
      <rPr>
        <sz val="8"/>
        <rFont val="Arial Narrow"/>
        <family val="2"/>
      </rPr>
      <t>مقترحات للتغييرات القانونية / الإدارية.</t>
    </r>
  </si>
  <si>
    <r>
      <rPr>
        <sz val="8"/>
        <rFont val="Arial Narrow"/>
        <family val="2"/>
      </rPr>
      <t>اعتماد التعديلات على الإطار القانوني</t>
    </r>
  </si>
  <si>
    <r>
      <rPr>
        <sz val="10"/>
        <rFont val="Arial Narrow"/>
        <family val="2"/>
      </rPr>
      <t>ضمان القيمة القانونية للوثائق الإلكترونية المطبوعة.</t>
    </r>
  </si>
  <si>
    <r>
      <rPr>
        <sz val="8"/>
        <rFont val="Arial Narrow"/>
        <family val="2"/>
      </rPr>
      <t>إتمام تنفيذ التغييرات المؤسسية / الإدارية.</t>
    </r>
  </si>
  <si>
    <r>
      <rPr>
        <sz val="8"/>
        <rFont val="Arial Narrow"/>
        <family val="2"/>
      </rPr>
      <t>300 شخص</t>
    </r>
  </si>
  <si>
    <r>
      <rPr>
        <sz val="8"/>
        <rFont val="Arial Narrow"/>
        <family val="2"/>
      </rPr>
      <t>بناء وتعزيز قدرات الموظفين المشتركين في عمليات إعادة الهندسة وتوفير الخدمات العامة.</t>
    </r>
  </si>
  <si>
    <r>
      <rPr>
        <sz val="8"/>
        <rFont val="Arial Narrow"/>
        <family val="2"/>
      </rPr>
      <t xml:space="preserve"> الدورات التدريبية العامة (2017)</t>
    </r>
  </si>
  <si>
    <r>
      <rPr>
        <b/>
        <sz val="10"/>
        <rFont val="Arial Narrow"/>
        <family val="2"/>
      </rPr>
      <t xml:space="preserve">الهدف 9: </t>
    </r>
    <r>
      <rPr>
        <b/>
        <sz val="10"/>
        <rFont val="Arial Narrow"/>
        <family val="2"/>
      </rPr>
      <t>تطوير بنية تحتية لتكنولوجيا المعلومات والاتصالات تستطيع دعم الأنشطة اليومية للإدارة العامة وتزيد كفاءتها عن طريق خفض الوقت اللازم للوصول إلى المعلومات ومعالجتها ونقلها مع تحسين تدفقها في الوقت نفسه.</t>
    </r>
  </si>
  <si>
    <r>
      <rPr>
        <sz val="8"/>
        <rFont val="Arial Narrow"/>
        <family val="2"/>
      </rPr>
      <t>9-1 رقمنة السجلات الرئيسية.</t>
    </r>
  </si>
  <si>
    <r>
      <rPr>
        <sz val="8"/>
        <rFont val="Arial Narrow"/>
        <family val="2"/>
      </rPr>
      <t>دراسة تحليل موقف حالة السجلات الرئيسية</t>
    </r>
  </si>
  <si>
    <r>
      <rPr>
        <sz val="8"/>
        <rFont val="Arial Narrow"/>
        <family val="2"/>
      </rPr>
      <t xml:space="preserve"> 9-2 تطوير واستخدام نظام متكامل لتكنولوجيا المعلومات والاتصالات (على أساس متطلبات عملية إعادة هندسة الخدمات)؛</t>
    </r>
  </si>
  <si>
    <r>
      <rPr>
        <sz val="8"/>
        <rFont val="Arial Narrow"/>
        <family val="2"/>
      </rPr>
      <t>تطوير نظام متكامل لتكنولوجيا المعلومات والاتصالات (على أساس متطلبات عملية إعادة هندسة الخدمات)؛</t>
    </r>
  </si>
  <si>
    <r>
      <rPr>
        <sz val="8"/>
        <color indexed="10"/>
        <rFont val="Arial Narrow"/>
        <family val="2"/>
      </rPr>
      <t xml:space="preserve">تطوير النظام وتوحيده؛ وثائق تدريب المستخدمين؛ </t>
    </r>
  </si>
  <si>
    <r>
      <rPr>
        <sz val="8"/>
        <color indexed="10"/>
        <rFont val="Arial Narrow"/>
        <family val="2"/>
      </rPr>
      <t>دورات تدريبية على تكنولوجيا المعلومات والاتصالات ومستخدمي النظام (2017)</t>
    </r>
  </si>
  <si>
    <r>
      <rPr>
        <sz val="8"/>
        <rFont val="Arial Narrow"/>
        <family val="2"/>
      </rPr>
      <t>9-3 إنشاء آلية للمواطنين الذين سيراقبون جودة الخدمة لإبداء آرائهم من خلال الاتصال المباشر عبر الرسائل النصية القصيرة (SMS) لمتلقي الخدمة فقط:</t>
    </r>
  </si>
  <si>
    <r>
      <rPr>
        <sz val="8"/>
        <rFont val="Arial Narrow"/>
        <family val="2"/>
      </rPr>
      <t xml:space="preserve">تطوير نظام يرفع تقارير بشأن ردود أفعال المواطنين ويتتبع الشكاوى المتعلقة بكافة فئات الخدمات التي توفرها الحكومة.  </t>
    </r>
  </si>
  <si>
    <r>
      <rPr>
        <sz val="8"/>
        <rFont val="Arial"/>
        <family val="2"/>
      </rPr>
      <t>الإجمالي وفقًا لتقدير MIPA</t>
    </r>
  </si>
  <si>
    <r>
      <rPr>
        <b/>
        <sz val="8"/>
        <rFont val="Arial"/>
        <family val="2"/>
      </rPr>
      <t>الرواتب</t>
    </r>
  </si>
  <si>
    <r>
      <rPr>
        <b/>
        <sz val="8"/>
        <rFont val="Arial"/>
        <family val="2"/>
      </rPr>
      <t>الصيانة</t>
    </r>
  </si>
  <si>
    <r>
      <rPr>
        <b/>
        <sz val="10"/>
        <rFont val="Arial"/>
        <family val="2"/>
      </rPr>
      <t>الفرق</t>
    </r>
  </si>
  <si>
    <r>
      <rPr>
        <b/>
        <sz val="10"/>
        <rFont val="Arial Narrow"/>
        <family val="2"/>
      </rPr>
      <t>استراتيجية الإصلاح الشامل للإدارة العامة - جدول تكاليف الأنشطة المتعلقة باللامركزية</t>
    </r>
  </si>
  <si>
    <r>
      <rPr>
        <b/>
        <i/>
        <sz val="8"/>
        <rFont val="Arial Narrow"/>
        <family val="2"/>
      </rPr>
      <t>مجلس أوروبا + مانحون آخرون</t>
    </r>
  </si>
  <si>
    <r>
      <rPr>
        <b/>
        <i/>
        <sz val="8"/>
        <rFont val="Arial Narrow"/>
        <family val="2"/>
      </rPr>
      <t xml:space="preserve">الهدف 4: </t>
    </r>
    <r>
      <rPr>
        <b/>
        <i/>
        <sz val="8"/>
        <rFont val="Arial Narrow"/>
        <family val="2"/>
      </rPr>
      <t>تقوية هياكل الإدارة العامة لتحسين توفير الخدمة للجمهور.</t>
    </r>
    <r>
      <rPr>
        <sz val="8"/>
        <rFont val="Arial Narrow"/>
        <family val="2"/>
      </rPr>
      <t xml:space="preserve">
</t>
    </r>
  </si>
  <si>
    <r>
      <rPr>
        <sz val="10"/>
        <rFont val="Arial Narrow"/>
        <family val="2"/>
      </rPr>
      <t>الدعم المنهجي لتنظيم وتشغيل الوحدات الإدارية الجديدة للدولة وبناء القدرات الخاصة بالتنفيذ.</t>
    </r>
  </si>
  <si>
    <r>
      <rPr>
        <sz val="8"/>
        <rFont val="Arial Narrow"/>
        <family val="2"/>
      </rPr>
      <t>إعداد قائمة وظائف الوحدات الحكومية المحلية والنموذج الهيكلي لتنظيم البلديات وتصنيف المناصب الوظيفية وتنفيذ برنامج تدريب الوحدات الحكومية المحلية (IPA A 1.6)</t>
    </r>
  </si>
  <si>
    <r>
      <rPr>
        <sz val="8"/>
        <rFont val="Arial Narrow"/>
        <family val="2"/>
      </rPr>
      <t xml:space="preserve">61 وحدة حكومية محلية جديدة × 3 موظفين </t>
    </r>
  </si>
  <si>
    <r>
      <rPr>
        <sz val="8"/>
        <color indexed="10"/>
        <rFont val="Arial Narrow"/>
        <family val="2"/>
      </rPr>
      <t xml:space="preserve">تصميم نموذج الهيكل الجديد للوحدات الحكومية المحلية والمساعدة في تأسيس هياكل جديدة (مساعدة عملية).
</t>
    </r>
  </si>
  <si>
    <r>
      <rPr>
        <sz val="8"/>
        <color indexed="10"/>
        <rFont val="Arial Narrow"/>
        <family val="2"/>
      </rPr>
      <t>بناء قدرات وحدات إدارة الموارد البشرية في البلديات الجديدة (15,000 يورو).</t>
    </r>
  </si>
  <si>
    <r>
      <rPr>
        <sz val="8"/>
        <rFont val="Arial Narrow"/>
        <family val="2"/>
      </rPr>
      <t>61 بلدية × 2 شخص في كل بلدية = 122 شخص إجمالًا</t>
    </r>
  </si>
  <si>
    <r>
      <rPr>
        <sz val="8"/>
        <rFont val="Arial Narrow"/>
        <family val="2"/>
      </rPr>
      <t>تحويل عملية إدارة الموارد البشرية لعملية قياسية في كافة الوحدات الحكومية المحلية (IPA A 1.2)</t>
    </r>
  </si>
  <si>
    <r>
      <rPr>
        <b/>
        <i/>
        <sz val="8"/>
        <rFont val="Arial Narrow"/>
        <family val="2"/>
      </rPr>
      <t xml:space="preserve">الهدف 5: </t>
    </r>
    <r>
      <rPr>
        <b/>
        <i/>
        <sz val="8"/>
        <rFont val="Arial Narrow"/>
        <family val="2"/>
      </rPr>
      <t>تحسين الخدمة العامة وتركيزها بالحد من أسباب الفساد وتقوية منطلق أخلاقي لتوفير الخدمة العامة.</t>
    </r>
    <r>
      <rPr>
        <sz val="8"/>
        <rFont val="Arial Narrow"/>
        <family val="2"/>
      </rPr>
      <t xml:space="preserve">
</t>
    </r>
  </si>
  <si>
    <r>
      <rPr>
        <sz val="8"/>
        <rFont val="Arial Narrow"/>
        <family val="2"/>
      </rPr>
      <t xml:space="preserve">تأسيس "مراكز شاملة" للخدمات الإدارية على المستوى المحلي. </t>
    </r>
  </si>
  <si>
    <r>
      <rPr>
        <sz val="8"/>
        <rFont val="Arial Narrow"/>
        <family val="2"/>
      </rPr>
      <t>61 بلدية، 322 وحدة محلية.</t>
    </r>
  </si>
  <si>
    <r>
      <rPr>
        <sz val="10"/>
        <rFont val="Arial Narrow"/>
        <family val="2"/>
      </rPr>
      <t xml:space="preserve">الاستخدام النظامي لتقييم فرص فساد التشريعات (عزل الفساد). </t>
    </r>
  </si>
  <si>
    <r>
      <rPr>
        <sz val="8"/>
        <rFont val="Arial Narrow"/>
        <family val="2"/>
      </rPr>
      <t>إدراج دليل عزل الفساد.</t>
    </r>
  </si>
  <si>
    <r>
      <rPr>
        <b/>
        <i/>
        <sz val="8"/>
        <rFont val="Arial Narrow"/>
        <family val="2"/>
      </rPr>
      <t>الدليل والجولة الدراسية لعدد 8 أشخاص وتدريب نحو 20 وزارة + البرلمان + مكتب الرئيس (الإجمالي نحو 45).</t>
    </r>
  </si>
  <si>
    <r>
      <rPr>
        <b/>
        <i/>
        <sz val="8"/>
        <rFont val="Arial Narrow"/>
        <family val="2"/>
      </rPr>
      <t xml:space="preserve"> الهدف 6: </t>
    </r>
    <r>
      <rPr>
        <b/>
        <i/>
        <sz val="8"/>
        <rFont val="Arial Narrow"/>
        <family val="2"/>
      </rPr>
      <t>تحسن قدرات تطبيق تشريعات الخدمة المدنية وتسهيل إجراءات إنفاذها.</t>
    </r>
    <r>
      <rPr>
        <sz val="8"/>
        <rFont val="Arial Narrow"/>
        <family val="2"/>
      </rPr>
      <t xml:space="preserve">
</t>
    </r>
  </si>
  <si>
    <r>
      <rPr>
        <b/>
        <i/>
        <sz val="8"/>
        <rFont val="Arial Narrow"/>
        <family val="2"/>
      </rPr>
      <t xml:space="preserve">الاستخدام المنهجي لإجراءات اختبار النزاهة (اختبار النزاهة).  </t>
    </r>
  </si>
  <si>
    <r>
      <rPr>
        <sz val="8"/>
        <rFont val="Arial Narrow"/>
        <family val="2"/>
      </rPr>
      <t xml:space="preserve">مراجعة اختبار القبول أثناء التعيين من حيث احتوائه على الأسئلة الخاصة بتقييم النزاهة. </t>
    </r>
  </si>
  <si>
    <r>
      <rPr>
        <b/>
        <i/>
        <sz val="8"/>
        <rFont val="Arial Narrow"/>
        <family val="2"/>
      </rPr>
      <t>لا تكلفة (سيتم إدراجه ضمن تكلفة الاختبار)</t>
    </r>
  </si>
  <si>
    <r>
      <rPr>
        <b/>
        <i/>
        <sz val="8"/>
        <rFont val="Arial Narrow"/>
        <family val="2"/>
      </rPr>
      <t xml:space="preserve">لا تكلفة  </t>
    </r>
  </si>
  <si>
    <r>
      <rPr>
        <sz val="8"/>
        <rFont val="Arial Narrow"/>
        <family val="2"/>
      </rPr>
      <t>تقييم النزاهة أثناء التقييم السنوي للأداء.</t>
    </r>
  </si>
  <si>
    <r>
      <rPr>
        <b/>
        <sz val="10"/>
        <rFont val="Arial Narrow"/>
        <family val="2"/>
      </rPr>
      <t xml:space="preserve">الهدف 10: </t>
    </r>
    <r>
      <rPr>
        <b/>
        <sz val="10"/>
        <rFont val="Arial Narrow"/>
        <family val="2"/>
      </rPr>
      <t>تعزيز كفاءة ومساءلة الموظفين الحكوميين.</t>
    </r>
  </si>
  <si>
    <r>
      <rPr>
        <sz val="8"/>
        <rFont val="Arial Narrow"/>
        <family val="2"/>
      </rPr>
      <t>تنفيذ برنامج بناء قدرات الوزارات المباشرة والوحدات الحكومية المحلية على تطبيق قانون الإجراءات المدنية (IPA A.1.1)</t>
    </r>
  </si>
  <si>
    <r>
      <rPr>
        <sz val="8"/>
        <rFont val="Arial Narrow"/>
        <family val="2"/>
      </rPr>
      <t>10-2 تطبيق التفويض في المؤسسات كإجراء لزيادة مساءلة موظفي الخدمة المدنية:</t>
    </r>
  </si>
  <si>
    <r>
      <rPr>
        <sz val="8"/>
        <rFont val="Arial Narrow"/>
        <family val="2"/>
      </rPr>
      <t>تطوير مشروعات التطبيق التجريبي لتفويض سلطات صنع القرار.</t>
    </r>
  </si>
  <si>
    <r>
      <rPr>
        <sz val="8"/>
        <rFont val="Arial Narrow"/>
        <family val="2"/>
      </rPr>
      <t>توسيع عملية التفويض لتشمل الإدارة العامة بأكملها.</t>
    </r>
  </si>
  <si>
    <r>
      <rPr>
        <sz val="8"/>
        <rFont val="Arial Narrow"/>
        <family val="2"/>
      </rPr>
      <t>سيتم إصدار التقدير الحقيقي للتكلفة بعد إتمام تنفيذ مشروعات التطبيق التجريبي. التكلفة المبينة مذكورة للتوضيح فقط.</t>
    </r>
  </si>
  <si>
    <r>
      <rPr>
        <b/>
        <i/>
        <sz val="8"/>
        <rFont val="Arial Narrow"/>
        <family val="2"/>
      </rPr>
      <t xml:space="preserve">الهدف 11: </t>
    </r>
    <r>
      <rPr>
        <b/>
        <i/>
        <sz val="8"/>
        <rFont val="Arial Narrow"/>
        <family val="2"/>
      </rPr>
      <t xml:space="preserve">تعزيز الرقابة على أنشطة الإدارة العامة مع ضمان حقوق المواطنين والوصول إلى المعلومات. </t>
    </r>
  </si>
  <si>
    <r>
      <rPr>
        <sz val="10"/>
        <rFont val="Arial Narrow"/>
        <family val="2"/>
      </rPr>
      <t>تنفيذ برنامج الشفافية المؤسسية من جانب السلطات العامة.</t>
    </r>
  </si>
  <si>
    <r>
      <rPr>
        <sz val="10"/>
        <rFont val="Arial Narrow"/>
        <family val="2"/>
      </rPr>
      <t>استخدام تكنولوجيا المعلومات والاتصالات لتعزيز شفافية أنشطة الإدارة.</t>
    </r>
  </si>
  <si>
    <r>
      <rPr>
        <b/>
        <sz val="8"/>
        <color indexed="10"/>
        <rFont val="Arial Narrow"/>
        <family val="2"/>
      </rPr>
      <t>لا تكلفة</t>
    </r>
  </si>
  <si>
    <r>
      <rPr>
        <b/>
        <i/>
        <sz val="10"/>
        <rFont val="Arial"/>
        <family val="2"/>
      </rPr>
      <t>الإجراءات</t>
    </r>
  </si>
  <si>
    <r>
      <rPr>
        <b/>
        <i/>
        <sz val="10"/>
        <rFont val="Arial"/>
        <family val="2"/>
      </rPr>
      <t>الأنشطة / المؤشرات</t>
    </r>
  </si>
  <si>
    <r>
      <rPr>
        <b/>
        <i/>
        <sz val="10"/>
        <rFont val="Arial"/>
        <family val="2"/>
      </rPr>
      <t>توضيحات</t>
    </r>
  </si>
  <si>
    <r>
      <rPr>
        <b/>
        <i/>
        <sz val="10"/>
        <rFont val="Arial"/>
        <family val="2"/>
      </rPr>
      <t>التكلفة المقدرة للمخرجات</t>
    </r>
  </si>
  <si>
    <r>
      <rPr>
        <sz val="9"/>
        <rFont val="Calibri"/>
        <family val="2"/>
      </rPr>
      <t>المانحون (مجلس أوروبا +)</t>
    </r>
  </si>
  <si>
    <r>
      <rPr>
        <sz val="10"/>
        <rFont val="Arial Narrow"/>
        <family val="2"/>
      </rPr>
      <t>بناء قدرات دائرة تطوير البرامج والشؤون المالية والمساعدات الخارجية فيما يتعلق بالتخطيط الاستراتيجي وتخطيط السياسات العامة على أساس تقييم الاحتياجات التدريبية الذي تم تنفيذه.</t>
    </r>
  </si>
  <si>
    <r>
      <rPr>
        <sz val="10"/>
        <rFont val="Arial Narrow"/>
        <family val="2"/>
      </rPr>
      <t>بناء قدرات المؤسسات المركزية بعد تقييم احتياجاتها المتعلقة بالتخطيط الاستراتيجي وتخطيط السياسات العامة (بالإضافة إلى استخدام IPSIS ونظام المعلومات IPSIS).</t>
    </r>
  </si>
  <si>
    <r>
      <rPr>
        <sz val="10"/>
        <rFont val="Arial Narrow"/>
        <family val="2"/>
      </rPr>
      <t xml:space="preserve">لم يتم إدراج قيمة AFMIS لأنها مدرجة في استراتيجية PFM كنشاط من أنشطة الميزانية. </t>
    </r>
  </si>
  <si>
    <r>
      <rPr>
        <sz val="10"/>
        <rFont val="Arial Narrow"/>
        <family val="2"/>
      </rPr>
      <t>بناء قدرات مجموعة الإدارة الاستراتيجية وتحسين عملها كهيكل للتنسيق في كل وزارة.</t>
    </r>
  </si>
  <si>
    <r>
      <rPr>
        <b/>
        <sz val="10"/>
        <color indexed="10"/>
        <rFont val="Arial Narrow"/>
        <family val="2"/>
      </rPr>
      <t>التكلفة الإجمالية للهدف 1</t>
    </r>
  </si>
  <si>
    <r>
      <rPr>
        <sz val="10"/>
        <rFont val="Arial Narrow"/>
        <family val="2"/>
      </rPr>
      <t>التكملة باللوائح الداخلية وضمان تطبيق القانون بمجرد إخطار العامة واستشارتهم.</t>
    </r>
  </si>
  <si>
    <r>
      <rPr>
        <sz val="10"/>
        <rFont val="Arial Narrow"/>
        <family val="2"/>
      </rPr>
      <t>تحسين إجراء تنفيذ دراسات تقييم الأثر المتوقع وتقييمات الامتثال ل Acquis مع ربط القوانين التنظيمية بالسياسات في الدولة.</t>
    </r>
  </si>
  <si>
    <r>
      <rPr>
        <sz val="10"/>
        <rFont val="Arial Narrow"/>
        <family val="2"/>
      </rPr>
      <t>تعزيز شفافية المطبوعات التشريعية.</t>
    </r>
  </si>
  <si>
    <r>
      <rPr>
        <b/>
        <sz val="10"/>
        <rFont val="Arial Narrow"/>
        <family val="2"/>
      </rPr>
      <t>التكلفة الإجمالية للهدف 2</t>
    </r>
  </si>
  <si>
    <r>
      <rPr>
        <b/>
        <sz val="10"/>
        <rFont val="Arial Narrow"/>
        <family val="2"/>
      </rPr>
      <t>التكلفة الإجمالية للهدف 3</t>
    </r>
  </si>
  <si>
    <r>
      <rPr>
        <b/>
        <sz val="10"/>
        <rFont val="Arial Narrow"/>
        <family val="2"/>
      </rPr>
      <t xml:space="preserve">الهدف 4: </t>
    </r>
    <r>
      <rPr>
        <b/>
        <sz val="10"/>
        <rFont val="Arial Narrow"/>
        <family val="2"/>
      </rPr>
      <t>تقوية هياكل الإدارة العامة لتحسين توفير الخدمة للجمهور.</t>
    </r>
  </si>
  <si>
    <r>
      <rPr>
        <sz val="10"/>
        <rFont val="Arial Narrow"/>
        <family val="2"/>
      </rPr>
      <t>إجراء دراسة لمراجعة الوظائف والتنظيم الداخلي لمؤسسات الإدارة على المستوى المركزي والمستوى المحلي.</t>
    </r>
  </si>
  <si>
    <r>
      <rPr>
        <sz val="10"/>
        <rFont val="Arial Narrow"/>
        <family val="2"/>
      </rPr>
      <t>تنفيذ التدخلات القانونية في قوانين إنشاء المؤسسات التابعة وفروع الوزارات ومراجعة الهياكل التنظيمية والأوصاف الوظيفية وموقع المقرات الرئيسية وفقًا للوحدات الإقليمية.</t>
    </r>
  </si>
  <si>
    <r>
      <rPr>
        <b/>
        <sz val="10"/>
        <rFont val="Arial Narrow"/>
        <family val="2"/>
      </rPr>
      <t>التكلفة الإجمالية للهدف 4</t>
    </r>
  </si>
  <si>
    <r>
      <rPr>
        <sz val="10"/>
        <rFont val="Arial Narrow"/>
        <family val="2"/>
      </rPr>
      <t>تأسيس مراكز توفير الخدمة كمراكز شاملة.</t>
    </r>
  </si>
  <si>
    <r>
      <rPr>
        <b/>
        <sz val="10"/>
        <rFont val="Arial Narrow"/>
        <family val="2"/>
      </rPr>
      <t>التكلفة الإجمالية للهدف 5</t>
    </r>
  </si>
  <si>
    <r>
      <rPr>
        <b/>
        <sz val="10"/>
        <rFont val="Arial Narrow"/>
        <family val="2"/>
      </rPr>
      <t xml:space="preserve">الهدف 6 </t>
    </r>
    <r>
      <rPr>
        <b/>
        <sz val="10"/>
        <rFont val="Arial Narrow"/>
        <family val="2"/>
      </rPr>
      <t>تحسن قدرات تطبيق تشريعات الخدمة المدنية وتسهيل إجراءات إنفاذها.</t>
    </r>
  </si>
  <si>
    <r>
      <rPr>
        <sz val="10"/>
        <rFont val="Arial Narrow"/>
        <family val="2"/>
      </rPr>
      <t>بناء قدرات دائرة الإدارة العامة على قيادة إصلاح الخدمة المدنية استراتيجيّا.</t>
    </r>
  </si>
  <si>
    <r>
      <rPr>
        <sz val="10"/>
        <rFont val="Arial Narrow"/>
        <family val="2"/>
      </rPr>
      <t>سيتم تحديد تكلفة هذا النشاط فور اكتمال النشاط 6.2.2</t>
    </r>
  </si>
  <si>
    <r>
      <rPr>
        <sz val="10"/>
        <rFont val="Arial Narrow"/>
        <family val="2"/>
      </rPr>
      <t>سيتم تحديد تكلفة هذا النشاط فور اكتمال النشاط 6.2.3</t>
    </r>
  </si>
  <si>
    <r>
      <rPr>
        <sz val="10"/>
        <rFont val="Arial Narrow"/>
        <family val="2"/>
      </rPr>
      <t>طريقة عمل مفوض الخدمة المدنية.</t>
    </r>
  </si>
  <si>
    <r>
      <rPr>
        <sz val="10"/>
        <rFont val="Arial Narrow"/>
        <family val="2"/>
      </rPr>
      <t>إنشاء قواعد بيانات بها أسئلة معدة سلفًا واستخدام نظم التقييم الإلكترونية عند التعيين.</t>
    </r>
  </si>
  <si>
    <r>
      <rPr>
        <sz val="10"/>
        <rFont val="Arial Narrow"/>
        <family val="2"/>
      </rPr>
      <t xml:space="preserve">الاستخدام المنهجي لإجراءات اختبار النزاهة (اختبار النزاهة). </t>
    </r>
  </si>
  <si>
    <r>
      <rPr>
        <sz val="10"/>
        <rFont val="Arial Narrow"/>
        <family val="2"/>
      </rPr>
      <t>تبسيط ونمذجة الخطوات والعمليات المتعلقة بالموارد البشرية في الإدارة العامة من خلال استخدام قوالب جاهزة أو نماذج قياسية.</t>
    </r>
  </si>
  <si>
    <r>
      <rPr>
        <sz val="10"/>
        <rFont val="Arial Narrow"/>
        <family val="2"/>
      </rPr>
      <t>تشغيل نظام معلومات إدارة الموارد البشرية بطاقته الكاملة واستخدامه على نطاق واسع من جانب المؤسسات.</t>
    </r>
  </si>
  <si>
    <r>
      <rPr>
        <sz val="10"/>
        <rFont val="Arial Narrow"/>
        <family val="2"/>
      </rPr>
      <t>وضع شروط وإجراءات لتحقيق الشفافية والموضوعية للترقي في وظائف الخدمة المدنية.</t>
    </r>
  </si>
  <si>
    <r>
      <rPr>
        <sz val="10"/>
        <rFont val="Arial Narrow"/>
        <family val="2"/>
      </rPr>
      <t>التقوية المستمرة للمدرسة الألبانية للإدارة العامة بصفتها مزود للتدريب على الخدمة المدنية وإجراء دراسات وأبحاث في مجال الإدارة العامة.</t>
    </r>
  </si>
  <si>
    <r>
      <rPr>
        <b/>
        <sz val="10"/>
        <rFont val="Arial Narrow"/>
        <family val="2"/>
      </rPr>
      <t>التكلفة الإجمالية للهدف 6</t>
    </r>
  </si>
  <si>
    <r>
      <rPr>
        <b/>
        <sz val="10"/>
        <rFont val="Arial Narrow"/>
        <family val="2"/>
      </rPr>
      <t xml:space="preserve">الهدف 7: </t>
    </r>
    <r>
      <rPr>
        <b/>
        <sz val="10"/>
        <rFont val="Arial Narrow"/>
        <family val="2"/>
      </rPr>
      <t>تنظيم نظام الأجور بالخدمة المدنية على أساس التقييم الموضوعي وتقييم الإنجازات السنوية لموظفي الخدمة المدنية ونتائج التدريب الإلزامي.</t>
    </r>
  </si>
  <si>
    <r>
      <rPr>
        <sz val="10"/>
        <rFont val="Arial Narrow"/>
        <family val="2"/>
      </rPr>
      <t>تبني القرارات الجديدة الخاصة بالأجور وتنفيذ الهيكل الجديد.</t>
    </r>
  </si>
  <si>
    <r>
      <rPr>
        <sz val="10"/>
        <rFont val="Arial Narrow"/>
        <family val="2"/>
      </rPr>
      <t>يمكن تحديد تكلفة هذا النشاط فور اكتمال النشاطين 7.1.1 و7.3.1</t>
    </r>
  </si>
  <si>
    <r>
      <rPr>
        <sz val="10"/>
        <rFont val="Arial Narrow"/>
        <family val="2"/>
      </rPr>
      <t>مراجعة النسب بين أقصى وأدنى حد للأجور في الإدارة العامة لضمان استمرار موضوعية هرم الأجور وتحفيز شاغلي المناصب الإدارية بالإضافة إلى تنويع التصنيف وفقًا لمحتوى الوظيفة.</t>
    </r>
  </si>
  <si>
    <r>
      <rPr>
        <b/>
        <sz val="10"/>
        <rFont val="Arial Narrow"/>
        <family val="2"/>
      </rPr>
      <t>التكلفة الإجمالية للهدف 7:</t>
    </r>
  </si>
  <si>
    <r>
      <rPr>
        <sz val="10"/>
        <rFont val="Arial Narrow"/>
        <family val="2"/>
      </rPr>
      <t>إعادة هندسة الخدمات العامة كإجراء ضروري لتبسيط الإجراءات الإدارية وتخفيض عدد الخطوات التي يتخذها المواطنون وموظفو الدعم.</t>
    </r>
  </si>
  <si>
    <r>
      <rPr>
        <sz val="10"/>
        <rFont val="Arial Narrow"/>
        <family val="2"/>
      </rPr>
      <t>المراجعة العامة للتشريع الذي يحكم توفير الخدمات العامة لكي يعكس عمليات إعادة الهندسة في الإطار التنظيمي.</t>
    </r>
  </si>
  <si>
    <r>
      <rPr>
        <sz val="10"/>
        <rFont val="Arial Narrow"/>
        <family val="2"/>
      </rPr>
      <t>بناء وتعزيز قدرات الموظفين المشتركين في عمليات إعادة الهندسة وتوفير الخدمات العامة.</t>
    </r>
  </si>
  <si>
    <r>
      <rPr>
        <b/>
        <sz val="10"/>
        <rFont val="Arial Narrow"/>
        <family val="2"/>
      </rPr>
      <t>التكلفة الإجمالية للهدف 8:</t>
    </r>
  </si>
  <si>
    <r>
      <rPr>
        <sz val="10"/>
        <rFont val="Arial Narrow"/>
        <family val="2"/>
      </rPr>
      <t>رقمنة السجلات الرئيسية</t>
    </r>
  </si>
  <si>
    <r>
      <rPr>
        <sz val="10"/>
        <rFont val="Arial Narrow"/>
        <family val="2"/>
      </rPr>
      <t>تطوير واستخدام نظام متكامل لتكنولوجيا المعلومات والاتصالات (على أساس متطلبات عملية إعادة هندسة الخدمات).</t>
    </r>
  </si>
  <si>
    <r>
      <rPr>
        <sz val="10"/>
        <rFont val="Arial Narrow"/>
        <family val="2"/>
      </rPr>
      <t>إنشاء آلية للمواطنين الذين سيراقبون جودة الخدمة لإبداء آرائهم من خلال الاتصال المباشر عبر الرسائل النصية القصيرة (SMS) لمتلقي الخدمة فقط.</t>
    </r>
  </si>
  <si>
    <r>
      <rPr>
        <b/>
        <sz val="10"/>
        <rFont val="Arial Narrow"/>
        <family val="2"/>
      </rPr>
      <t>التكلفة الإجمالية للهدف 9</t>
    </r>
  </si>
  <si>
    <r>
      <rPr>
        <sz val="10"/>
        <rFont val="Arial Narrow"/>
        <family val="2"/>
      </rPr>
      <t>تطبيق التفويض في المؤسسات كإجراء لزيادة مساءلة موظفي الخدمة المدنية.</t>
    </r>
  </si>
  <si>
    <r>
      <rPr>
        <b/>
        <sz val="10"/>
        <rFont val="Arial Narrow"/>
        <family val="2"/>
      </rPr>
      <t>التكلفة الإجمالية للهدف 10</t>
    </r>
  </si>
  <si>
    <r>
      <rPr>
        <b/>
        <sz val="10"/>
        <rFont val="Arial Narrow"/>
        <family val="2"/>
      </rPr>
      <t xml:space="preserve">الهدف 11: </t>
    </r>
    <r>
      <rPr>
        <b/>
        <sz val="10"/>
        <rFont val="Arial Narrow"/>
        <family val="2"/>
      </rPr>
      <t>تعزيز الرقابة على أنشطة الإدارة العامة مع ضمان حقوق المواطنين والوصول إلى المعلومات.</t>
    </r>
  </si>
  <si>
    <r>
      <rPr>
        <sz val="10"/>
        <rFont val="Arial Narrow"/>
        <family val="2"/>
      </rPr>
      <t xml:space="preserve">لا يمكن تحديد تكلفة بناء النظام إلا بعد التحليل الوظيفي الذي ستقوم به NAIS. </t>
    </r>
  </si>
  <si>
    <r>
      <rPr>
        <sz val="10"/>
        <rFont val="Arial Narrow"/>
        <family val="2"/>
      </rPr>
      <t>سيتم تحديد تكلفة التدريب فور اكتمال النشاط 3.2.3</t>
    </r>
  </si>
  <si>
    <r>
      <rPr>
        <sz val="10"/>
        <color indexed="10"/>
        <rFont val="Arial Narrow"/>
        <family val="2"/>
      </rPr>
      <t>التكلفة الإجمالية للهدف 11</t>
    </r>
  </si>
  <si>
    <r>
      <rPr>
        <sz val="10"/>
        <color indexed="8"/>
        <rFont val="Arial"/>
        <family val="2"/>
      </rPr>
      <t>الاختلاف</t>
    </r>
  </si>
  <si>
    <r>
      <rPr>
        <b/>
        <sz val="9"/>
        <rFont val="Calibri"/>
        <family val="2"/>
      </rPr>
      <t xml:space="preserve">جداول التحليل الملخص لتحديد تكاليف استراتيجية الإصلاح الشامل للإدارة العامة </t>
    </r>
  </si>
  <si>
    <r>
      <rPr>
        <b/>
        <sz val="9"/>
        <rFont val="Calibri"/>
        <family val="2"/>
      </rPr>
      <t>الأهداف</t>
    </r>
  </si>
  <si>
    <r>
      <rPr>
        <b/>
        <sz val="9"/>
        <rFont val="Calibri"/>
        <family val="2"/>
      </rPr>
      <t>التكلفة الإجمالية المحتملة</t>
    </r>
  </si>
  <si>
    <r>
      <rPr>
        <b/>
        <sz val="9"/>
        <rFont val="Calibri"/>
        <family val="2"/>
      </rPr>
      <t xml:space="preserve">ميزانية الدولة </t>
    </r>
  </si>
  <si>
    <r>
      <rPr>
        <b/>
        <sz val="9"/>
        <rFont val="Calibri"/>
        <family val="2"/>
      </rPr>
      <t>مصادر التمويل</t>
    </r>
  </si>
  <si>
    <r>
      <rPr>
        <b/>
        <sz val="9"/>
        <rFont val="Calibri"/>
        <family val="2"/>
      </rPr>
      <t>المانحون (مجلس أوروبا +)</t>
    </r>
  </si>
  <si>
    <r>
      <rPr>
        <b/>
        <sz val="9"/>
        <rFont val="Calibri"/>
        <family val="2"/>
      </rPr>
      <t>البنك الدولي</t>
    </r>
  </si>
  <si>
    <r>
      <rPr>
        <b/>
        <sz val="9"/>
        <rFont val="Calibri"/>
        <family val="2"/>
      </rPr>
      <t>الفجوة المالية</t>
    </r>
  </si>
  <si>
    <r>
      <rPr>
        <b/>
        <sz val="9"/>
        <rFont val="Calibri"/>
        <family val="2"/>
      </rPr>
      <t>الهدف 2</t>
    </r>
  </si>
  <si>
    <r>
      <rPr>
        <b/>
        <sz val="9"/>
        <rFont val="Calibri"/>
        <family val="2"/>
      </rPr>
      <t xml:space="preserve">الهدف 1 </t>
    </r>
  </si>
  <si>
    <r>
      <rPr>
        <b/>
        <sz val="9"/>
        <rFont val="Calibri"/>
        <family val="2"/>
      </rPr>
      <t>الهدف 3</t>
    </r>
  </si>
  <si>
    <r>
      <rPr>
        <b/>
        <sz val="9"/>
        <rFont val="Calibri"/>
        <family val="2"/>
      </rPr>
      <t>الهدف 4</t>
    </r>
  </si>
  <si>
    <r>
      <rPr>
        <b/>
        <sz val="9"/>
        <rFont val="Calibri"/>
        <family val="2"/>
      </rPr>
      <t>الهدف 5</t>
    </r>
  </si>
  <si>
    <r>
      <rPr>
        <b/>
        <sz val="9"/>
        <rFont val="Calibri"/>
        <family val="2"/>
      </rPr>
      <t>الهدف 6</t>
    </r>
  </si>
  <si>
    <r>
      <rPr>
        <b/>
        <sz val="9"/>
        <rFont val="Calibri"/>
        <family val="2"/>
      </rPr>
      <t>الهدف 7</t>
    </r>
  </si>
  <si>
    <r>
      <rPr>
        <b/>
        <sz val="9"/>
        <rFont val="Calibri"/>
        <family val="2"/>
      </rPr>
      <t>الهدف 8</t>
    </r>
  </si>
  <si>
    <r>
      <rPr>
        <b/>
        <sz val="9"/>
        <rFont val="Calibri"/>
        <family val="2"/>
      </rPr>
      <t>الهدف 9</t>
    </r>
  </si>
  <si>
    <r>
      <rPr>
        <b/>
        <sz val="9"/>
        <rFont val="Calibri"/>
        <family val="2"/>
      </rPr>
      <t>الهدف 10</t>
    </r>
  </si>
  <si>
    <r>
      <rPr>
        <b/>
        <sz val="9"/>
        <rFont val="Calibri"/>
        <family val="2"/>
      </rPr>
      <t>الهدف 11</t>
    </r>
  </si>
  <si>
    <r>
      <rPr>
        <sz val="9"/>
        <rFont val="Calibri"/>
        <family val="2"/>
      </rPr>
      <t>المدرسة الألبانية للإدارة العامة</t>
    </r>
  </si>
  <si>
    <r>
      <rPr>
        <sz val="9"/>
        <rFont val="Calibri"/>
        <family val="2"/>
      </rPr>
      <t xml:space="preserve">الابتكار </t>
    </r>
  </si>
  <si>
    <r>
      <rPr>
        <sz val="9"/>
        <rFont val="Calibri"/>
        <family val="2"/>
      </rPr>
      <t>الإدارة المحلية</t>
    </r>
  </si>
  <si>
    <r>
      <rPr>
        <sz val="9"/>
        <rFont val="Calibri"/>
        <family val="2"/>
      </rPr>
      <t xml:space="preserve">الشفافية والمساءلة / الرقابة </t>
    </r>
  </si>
  <si>
    <r>
      <rPr>
        <sz val="9"/>
        <rFont val="Calibri"/>
        <family val="2"/>
      </rPr>
      <t xml:space="preserve">الخدمة المدنية والموارد البشرية </t>
    </r>
  </si>
  <si>
    <r>
      <rPr>
        <b/>
        <sz val="10"/>
        <rFont val="Calibri"/>
        <family val="2"/>
      </rPr>
      <t xml:space="preserve">الجدول 3: </t>
    </r>
    <r>
      <rPr>
        <b/>
        <sz val="10"/>
        <rFont val="Calibri"/>
        <family val="2"/>
      </rPr>
      <t xml:space="preserve">التوزيع حسب بنود المصروفات </t>
    </r>
  </si>
  <si>
    <r>
      <rPr>
        <b/>
        <sz val="10"/>
        <rFont val="Calibri"/>
        <family val="2"/>
      </rPr>
      <t xml:space="preserve">الجدول 2: </t>
    </r>
    <r>
      <rPr>
        <b/>
        <sz val="10"/>
        <rFont val="Calibri"/>
        <family val="2"/>
      </rPr>
      <t>توزيع الصناديق على المناطق</t>
    </r>
  </si>
  <si>
    <r>
      <rPr>
        <b/>
        <sz val="10"/>
        <rFont val="Calibri"/>
        <family val="2"/>
      </rPr>
      <t xml:space="preserve">الجدول 1: </t>
    </r>
    <r>
      <rPr>
        <b/>
        <sz val="10"/>
        <rFont val="Calibri"/>
        <family val="2"/>
      </rPr>
      <t xml:space="preserve">توزيع الصناديق على الأهداف </t>
    </r>
  </si>
  <si>
    <r>
      <rPr>
        <b/>
        <sz val="9"/>
        <rFont val="Calibri"/>
        <family val="2"/>
      </rPr>
      <t xml:space="preserve">صندوق رواتب الموظفين الإضافيين  </t>
    </r>
  </si>
  <si>
    <r>
      <rPr>
        <b/>
        <sz val="9"/>
        <rFont val="Calibri"/>
        <family val="2"/>
      </rPr>
      <t>الخبراء (المحليون والأجنبيون)</t>
    </r>
  </si>
  <si>
    <r>
      <rPr>
        <b/>
        <sz val="9"/>
        <rFont val="Calibri"/>
        <family val="2"/>
      </rPr>
      <t>المصروفات لكل بند باليورو</t>
    </r>
  </si>
  <si>
    <r>
      <rPr>
        <b/>
        <sz val="9"/>
        <rFont val="Calibri"/>
        <family val="2"/>
      </rPr>
      <t xml:space="preserve">البرمجيات الحاسوبية </t>
    </r>
  </si>
  <si>
    <r>
      <rPr>
        <b/>
        <sz val="9"/>
        <rFont val="Calibri"/>
        <family val="2"/>
      </rPr>
      <t xml:space="preserve">مصاريف أخرى وصيانة </t>
    </r>
  </si>
  <si>
    <r>
      <rPr>
        <b/>
        <sz val="9"/>
        <rFont val="Calibri"/>
        <family val="2"/>
      </rPr>
      <t xml:space="preserve">بالوزن النوعي </t>
    </r>
  </si>
  <si>
    <r>
      <rPr>
        <b/>
        <sz val="9"/>
        <rFont val="Calibri"/>
        <family val="2"/>
      </rPr>
      <t xml:space="preserve">الجدول 4: </t>
    </r>
    <r>
      <rPr>
        <b/>
        <sz val="9"/>
        <rFont val="Calibri"/>
        <family val="2"/>
      </rPr>
      <t>مصادر التمويل</t>
    </r>
  </si>
  <si>
    <r>
      <rPr>
        <sz val="9"/>
        <rFont val="Calibri"/>
        <family val="2"/>
      </rPr>
      <t>ميزانية الدولة</t>
    </r>
  </si>
  <si>
    <r>
      <rPr>
        <b/>
        <i/>
        <sz val="8"/>
        <rFont val="Arial"/>
        <family val="2"/>
      </rPr>
      <t>الأنشطة اللازمة لتنفيذ الإجراء</t>
    </r>
  </si>
  <si>
    <r>
      <rPr>
        <b/>
        <sz val="10"/>
        <rFont val="Arial"/>
        <family val="2"/>
      </rPr>
      <t xml:space="preserve">الجدول 1: </t>
    </r>
    <r>
      <rPr>
        <b/>
        <sz val="10"/>
        <rFont val="Arial"/>
        <family val="2"/>
      </rPr>
      <t xml:space="preserve">التكلفة المقدرة لاستراتيجية الإصلاح الشامل للإدارة العامة </t>
    </r>
  </si>
  <si>
    <r>
      <rPr>
        <sz val="10"/>
        <color indexed="8"/>
        <rFont val="Arial"/>
        <family val="2"/>
      </rPr>
      <t>خدمة العملاء وإدارة الموارد البشرية</t>
    </r>
  </si>
  <si>
    <r>
      <rPr>
        <sz val="10"/>
        <color indexed="8"/>
        <rFont val="Arial"/>
        <family val="2"/>
      </rPr>
      <t>اللامركزية</t>
    </r>
  </si>
  <si>
    <r>
      <rPr>
        <sz val="10"/>
        <color indexed="8"/>
        <rFont val="Arial"/>
        <family val="2"/>
      </rPr>
      <t>الشفافية ومكافحة الفساد</t>
    </r>
  </si>
  <si>
    <r>
      <rPr>
        <sz val="10"/>
        <color indexed="8"/>
        <rFont val="Arial"/>
        <family val="2"/>
      </rPr>
      <t>التمويل الحكومي</t>
    </r>
  </si>
  <si>
    <r>
      <rPr>
        <b/>
        <sz val="22"/>
        <color indexed="49"/>
        <rFont val="Calibri"/>
        <family val="2"/>
      </rPr>
      <t>مثال لتحديد التكاليف - ألبانيا</t>
    </r>
  </si>
  <si>
    <r>
      <rPr>
        <b/>
        <sz val="22"/>
        <color indexed="49"/>
        <rFont val="Calibri"/>
        <family val="2"/>
      </rPr>
      <t xml:space="preserve"> الإجراءات والأنشطة </t>
    </r>
  </si>
  <si>
    <r>
      <rPr>
        <b/>
        <sz val="22"/>
        <color indexed="49"/>
        <rFont val="Calibri"/>
        <family val="2"/>
      </rPr>
      <t>دليل لشركاء سيغما</t>
    </r>
  </si>
  <si>
    <r>
      <rPr>
        <b/>
        <sz val="22"/>
        <color indexed="49"/>
        <rFont val="Calibri"/>
        <family val="2"/>
      </rPr>
      <t xml:space="preserve"> الملحق 4: </t>
    </r>
    <r>
      <rPr>
        <b/>
        <sz val="22"/>
        <color indexed="49"/>
        <rFont val="Calibri"/>
        <family val="2"/>
      </rPr>
      <t>الجزء الثاني:</t>
    </r>
  </si>
  <si>
    <r>
      <rPr>
        <b/>
        <sz val="9"/>
        <rFont val="Calibri"/>
        <family val="2"/>
      </rPr>
      <t>الأهداف</t>
    </r>
  </si>
  <si>
    <r>
      <rPr>
        <b/>
        <sz val="9"/>
        <rFont val="Calibri"/>
        <family val="2"/>
      </rPr>
      <t>التكلفة الإجمالية المحتملة</t>
    </r>
  </si>
  <si>
    <r>
      <rPr>
        <b/>
        <sz val="9"/>
        <rFont val="Calibri"/>
        <family val="2"/>
      </rPr>
      <t>مصادر التمويل</t>
    </r>
  </si>
  <si>
    <r>
      <rPr>
        <b/>
        <sz val="9"/>
        <rFont val="Calibri"/>
        <family val="2"/>
      </rPr>
      <t xml:space="preserve">ميزانية الدولة </t>
    </r>
  </si>
  <si>
    <r>
      <rPr>
        <b/>
        <sz val="9"/>
        <rFont val="Calibri"/>
        <family val="2"/>
      </rPr>
      <t>الاتحاد الأوروبي (IPA)</t>
    </r>
  </si>
  <si>
    <r>
      <rPr>
        <b/>
        <sz val="9"/>
        <rFont val="Calibri"/>
        <family val="2"/>
      </rPr>
      <t>المانحون (مجلس أوروبا +)</t>
    </r>
  </si>
  <si>
    <r>
      <rPr>
        <b/>
        <sz val="9"/>
        <rFont val="Calibri"/>
        <family val="2"/>
      </rPr>
      <t>البنك الدولي</t>
    </r>
  </si>
  <si>
    <r>
      <rPr>
        <b/>
        <sz val="9"/>
        <rFont val="Calibri"/>
        <family val="2"/>
      </rPr>
      <t>برنامج الأمم المتحدة للتنمية</t>
    </r>
  </si>
  <si>
    <r>
      <rPr>
        <b/>
        <sz val="9"/>
        <rFont val="Calibri"/>
        <family val="2"/>
      </rPr>
      <t>الفجوة المالية</t>
    </r>
  </si>
  <si>
    <r>
      <rPr>
        <sz val="9"/>
        <rFont val="Calibri"/>
        <family val="2"/>
      </rPr>
      <t>الإجمالي</t>
    </r>
  </si>
  <si>
    <r>
      <rPr>
        <sz val="9"/>
        <rFont val="Calibri"/>
        <family val="2"/>
      </rPr>
      <t xml:space="preserve">الخدمة المدنية والموارد البشرية </t>
    </r>
  </si>
  <si>
    <r>
      <rPr>
        <sz val="9"/>
        <rFont val="Calibri"/>
        <family val="2"/>
      </rPr>
      <t>المدرسة الألبانية للإدارة العامة</t>
    </r>
  </si>
  <si>
    <r>
      <rPr>
        <sz val="9"/>
        <rFont val="Calibri"/>
        <family val="2"/>
      </rPr>
      <t xml:space="preserve">الابتكار </t>
    </r>
  </si>
  <si>
    <r>
      <rPr>
        <sz val="9"/>
        <rFont val="Calibri"/>
        <family val="2"/>
      </rPr>
      <t>الإدارة المحلية</t>
    </r>
  </si>
  <si>
    <r>
      <rPr>
        <sz val="9"/>
        <rFont val="Calibri"/>
        <family val="2"/>
      </rPr>
      <t xml:space="preserve">الشفافية والمساءلة / الرقابة </t>
    </r>
  </si>
  <si>
    <r>
      <rPr>
        <sz val="9"/>
        <rFont val="Calibri"/>
        <family val="2"/>
      </rPr>
      <t xml:space="preserve">الخدمة المدنية والموارد البشرية </t>
    </r>
  </si>
  <si>
    <r>
      <rPr>
        <sz val="9"/>
        <rFont val="Calibri"/>
        <family val="2"/>
      </rPr>
      <t>المدرسة الألبانية للإدارة العامة</t>
    </r>
  </si>
  <si>
    <r>
      <rPr>
        <sz val="9"/>
        <rFont val="Calibri"/>
        <family val="2"/>
      </rPr>
      <t xml:space="preserve">الابتكار </t>
    </r>
  </si>
  <si>
    <r>
      <rPr>
        <sz val="9"/>
        <rFont val="Calibri"/>
        <family val="2"/>
      </rPr>
      <t>الإدارة المحلية</t>
    </r>
  </si>
  <si>
    <r>
      <rPr>
        <sz val="9"/>
        <rFont val="Calibri"/>
        <family val="2"/>
      </rPr>
      <t xml:space="preserve">الشفافية والمساءلة / الرقابة </t>
    </r>
  </si>
  <si>
    <r>
      <rPr>
        <sz val="9"/>
        <rFont val="Calibri"/>
        <family val="2"/>
      </rPr>
      <t>الإجمالي</t>
    </r>
  </si>
  <si>
    <r>
      <rPr>
        <sz val="9"/>
        <rFont val="Calibri"/>
        <family val="2"/>
      </rPr>
      <t>الاتحاد الأوروبي (IPA)</t>
    </r>
  </si>
  <si>
    <r>
      <rPr>
        <sz val="9"/>
        <rFont val="Calibri"/>
        <family val="2"/>
      </rPr>
      <t>البنك الدولي</t>
    </r>
  </si>
  <si>
    <r>
      <rPr>
        <b/>
        <i/>
        <sz val="10"/>
        <rFont val="Arial"/>
        <family val="2"/>
      </rPr>
      <t>الفجوة المالية</t>
    </r>
  </si>
  <si>
    <r>
      <rPr>
        <b/>
        <i/>
        <sz val="10"/>
        <rFont val="Arial"/>
        <family val="2"/>
      </rPr>
      <t>برنامج الأمم المتحدة للتنمية</t>
    </r>
  </si>
  <si>
    <r>
      <rPr>
        <b/>
        <i/>
        <sz val="10"/>
        <rFont val="Arial"/>
        <family val="2"/>
      </rPr>
      <t>الفجوة المالية</t>
    </r>
  </si>
  <si>
    <r>
      <rPr>
        <sz val="10"/>
        <rFont val="Arial Narrow"/>
        <family val="2"/>
      </rPr>
      <t>2.2.2</t>
    </r>
  </si>
  <si>
    <r>
      <rPr>
        <sz val="10"/>
        <rFont val="Arial Narrow"/>
        <family val="2"/>
      </rPr>
      <t>2.3.1</t>
    </r>
  </si>
  <si>
    <r>
      <rPr>
        <sz val="10"/>
        <rFont val="Arial Narrow"/>
        <family val="2"/>
      </rPr>
      <t>2.3.2</t>
    </r>
  </si>
  <si>
    <r>
      <rPr>
        <sz val="10"/>
        <rFont val="Arial Narrow"/>
        <family val="2"/>
      </rPr>
      <t>بدون تكلفة إضافية</t>
    </r>
  </si>
  <si>
    <r>
      <rPr>
        <sz val="10"/>
        <rFont val="Arial Narrow"/>
        <family val="2"/>
      </rPr>
      <t>بدون تكلفة إضافية</t>
    </r>
  </si>
  <si>
    <r>
      <rPr>
        <sz val="10"/>
        <rFont val="Arial Narrow"/>
        <family val="2"/>
      </rPr>
      <t>بدون تكلفة إضافية</t>
    </r>
  </si>
  <si>
    <r>
      <rPr>
        <sz val="10"/>
        <rFont val="Arial Narrow"/>
        <family val="2"/>
      </rPr>
      <t>5.2.1</t>
    </r>
  </si>
  <si>
    <r>
      <rPr>
        <sz val="10"/>
        <rFont val="Arial Narrow"/>
        <family val="2"/>
      </rPr>
      <t>بدون تكلفة إضافية</t>
    </r>
  </si>
  <si>
    <r>
      <rPr>
        <sz val="10"/>
        <rFont val="Arial Narrow"/>
        <family val="2"/>
      </rPr>
      <t>6.5.1</t>
    </r>
  </si>
  <si>
    <r>
      <rPr>
        <sz val="10"/>
        <rFont val="Arial Narrow"/>
        <family val="2"/>
      </rPr>
      <t>بدون تكلفة إضافية</t>
    </r>
  </si>
  <si>
    <r>
      <rPr>
        <sz val="10"/>
        <rFont val="Arial Narrow"/>
        <family val="2"/>
      </rPr>
      <t>بدون تكلفة إضافية</t>
    </r>
  </si>
  <si>
    <r>
      <rPr>
        <sz val="10"/>
        <rFont val="Arial Narrow"/>
        <family val="2"/>
      </rPr>
      <t>بدون تكلفة إضافية</t>
    </r>
  </si>
  <si>
    <r>
      <rPr>
        <sz val="10"/>
        <rFont val="Arial Narrow"/>
        <family val="2"/>
      </rPr>
      <t>بدون تكلفة إضافية</t>
    </r>
  </si>
  <si>
    <r>
      <rPr>
        <sz val="10"/>
        <rFont val="Arial Narrow"/>
        <family val="2"/>
      </rPr>
      <t>بدون تكلفة إضافية</t>
    </r>
  </si>
  <si>
    <r>
      <rPr>
        <sz val="10"/>
        <rFont val="Arial Narrow"/>
        <family val="2"/>
      </rPr>
      <t>بدون تكلفة إضافية</t>
    </r>
  </si>
  <si>
    <r>
      <rPr>
        <sz val="10"/>
        <rFont val="Arial Narrow"/>
        <family val="2"/>
      </rPr>
      <t>بدون تكلفة إضافية</t>
    </r>
  </si>
  <si>
    <r>
      <rPr>
        <sz val="10"/>
        <color indexed="8"/>
        <rFont val="Arial"/>
        <family val="2"/>
      </rPr>
      <t>الإجمالي</t>
    </r>
  </si>
  <si>
    <r>
      <rPr>
        <sz val="10"/>
        <color indexed="8"/>
        <rFont val="Arial"/>
        <family val="2"/>
      </rPr>
      <t>الإجمالي</t>
    </r>
  </si>
  <si>
    <r>
      <rPr>
        <sz val="10"/>
        <color indexed="8"/>
        <rFont val="Arial"/>
        <family val="2"/>
      </rPr>
      <t>الفجوة المالية</t>
    </r>
  </si>
  <si>
    <r>
      <rPr>
        <b/>
        <i/>
        <sz val="8"/>
        <rFont val="Arial Narrow"/>
        <family val="2"/>
      </rPr>
      <t xml:space="preserve">مصاريف المؤتمرات / الحلقات النقاشية والدورات التدريبية   </t>
    </r>
  </si>
  <si>
    <r>
      <rPr>
        <b/>
        <i/>
        <sz val="8"/>
        <rFont val="Arial Narrow"/>
        <family val="2"/>
      </rPr>
      <t>الأجهزة المادية الحاسوبية</t>
    </r>
  </si>
  <si>
    <r>
      <rPr>
        <b/>
        <i/>
        <sz val="8"/>
        <rFont val="Arial Narrow"/>
        <family val="2"/>
      </rPr>
      <t xml:space="preserve">مستلزمات المكاتب </t>
    </r>
  </si>
  <si>
    <r>
      <rPr>
        <b/>
        <i/>
        <sz val="8"/>
        <rFont val="Arial Narrow"/>
        <family val="2"/>
      </rPr>
      <t xml:space="preserve">الإجمالي </t>
    </r>
  </si>
  <si>
    <r>
      <rPr>
        <b/>
        <i/>
        <sz val="8"/>
        <rFont val="Arial Narrow"/>
        <family val="2"/>
      </rPr>
      <t>اليوم / الخبير</t>
    </r>
  </si>
  <si>
    <r>
      <rPr>
        <b/>
        <i/>
        <sz val="8"/>
        <rFont val="Arial Narrow"/>
        <family val="2"/>
      </rPr>
      <t>الأجر</t>
    </r>
  </si>
  <si>
    <r>
      <rPr>
        <b/>
        <i/>
        <sz val="8"/>
        <rFont val="Arial Narrow"/>
        <family val="2"/>
      </rPr>
      <t>الإجمالي</t>
    </r>
  </si>
  <si>
    <r>
      <rPr>
        <b/>
        <i/>
        <sz val="8"/>
        <rFont val="Arial Narrow"/>
        <family val="2"/>
      </rPr>
      <t>الإجمالي</t>
    </r>
  </si>
  <si>
    <r>
      <rPr>
        <b/>
        <i/>
        <sz val="8"/>
        <rFont val="Arial Narrow"/>
        <family val="2"/>
      </rPr>
      <t>القيمة الإجمالية</t>
    </r>
  </si>
  <si>
    <r>
      <rPr>
        <b/>
        <i/>
        <sz val="8"/>
        <rFont val="Arial Narrow"/>
        <family val="2"/>
      </rPr>
      <t>متوسط السعر / وحدة</t>
    </r>
  </si>
  <si>
    <r>
      <rPr>
        <b/>
        <i/>
        <sz val="8"/>
        <rFont val="Arial Narrow"/>
        <family val="2"/>
      </rPr>
      <t>القيمة الإجمالية</t>
    </r>
  </si>
  <si>
    <r>
      <rPr>
        <b/>
        <i/>
        <sz val="8"/>
        <rFont val="Arial Narrow"/>
        <family val="2"/>
      </rPr>
      <t>ميزانية الدولة (MTBP 2015-2017)</t>
    </r>
  </si>
  <si>
    <r>
      <rPr>
        <b/>
        <i/>
        <sz val="8"/>
        <rFont val="Arial Narrow"/>
        <family val="2"/>
      </rPr>
      <t>WB</t>
    </r>
  </si>
  <si>
    <r>
      <rPr>
        <b/>
        <i/>
        <sz val="8"/>
        <rFont val="Arial Narrow"/>
        <family val="2"/>
      </rPr>
      <t>برنامج الأمم المتحدة للتنمية</t>
    </r>
  </si>
  <si>
    <r>
      <rPr>
        <b/>
        <i/>
        <sz val="8"/>
        <rFont val="Arial Narrow"/>
        <family val="2"/>
      </rPr>
      <t>الفجوة المالية</t>
    </r>
  </si>
  <si>
    <r>
      <rPr>
        <sz val="8"/>
        <rFont val="Arial Narrow"/>
        <family val="2"/>
      </rPr>
      <t>4.1.1</t>
    </r>
  </si>
  <si>
    <r>
      <rPr>
        <sz val="8"/>
        <rFont val="Arial Narrow"/>
        <family val="2"/>
      </rPr>
      <t>4.1.2</t>
    </r>
  </si>
  <si>
    <r>
      <rPr>
        <sz val="8"/>
        <rFont val="Arial Narrow"/>
        <family val="2"/>
      </rPr>
      <t>4.1.3</t>
    </r>
  </si>
  <si>
    <r>
      <rPr>
        <sz val="8"/>
        <rFont val="Arial Narrow"/>
        <family val="2"/>
      </rPr>
      <t>4.1.4</t>
    </r>
  </si>
  <si>
    <r>
      <rPr>
        <sz val="8"/>
        <rFont val="Arial Narrow"/>
        <family val="2"/>
      </rPr>
      <t>4.2.1</t>
    </r>
  </si>
  <si>
    <r>
      <rPr>
        <sz val="8"/>
        <rFont val="Arial Narrow"/>
        <family val="2"/>
      </rPr>
      <t>4.2.2</t>
    </r>
  </si>
  <si>
    <r>
      <rPr>
        <sz val="8"/>
        <rFont val="Arial Narrow"/>
        <family val="2"/>
      </rPr>
      <t>6.1.6</t>
    </r>
  </si>
  <si>
    <r>
      <rPr>
        <sz val="8"/>
        <rFont val="Arial Narrow"/>
        <family val="2"/>
      </rPr>
      <t>بناء قدرات تخطيط الموارد البشرية في مؤسسات الإدارة العامة</t>
    </r>
  </si>
  <si>
    <r>
      <rPr>
        <sz val="8"/>
        <rFont val="Arial Narrow"/>
        <family val="2"/>
      </rPr>
      <t>6.2.1</t>
    </r>
  </si>
  <si>
    <r>
      <rPr>
        <sz val="8"/>
        <rFont val="Arial Narrow"/>
        <family val="2"/>
      </rPr>
      <t>بدون تكلفة إضافية</t>
    </r>
  </si>
  <si>
    <r>
      <rPr>
        <sz val="8"/>
        <rFont val="Arial Narrow"/>
        <family val="2"/>
      </rPr>
      <t>6.2.2</t>
    </r>
  </si>
  <si>
    <r>
      <rPr>
        <sz val="8"/>
        <rFont val="Arial Narrow"/>
        <family val="2"/>
      </rPr>
      <t>6.2.3</t>
    </r>
  </si>
  <si>
    <r>
      <rPr>
        <sz val="8"/>
        <rFont val="Arial Narrow"/>
        <family val="2"/>
      </rPr>
      <t>6.3.1</t>
    </r>
  </si>
  <si>
    <r>
      <rPr>
        <sz val="8"/>
        <rFont val="Arial Narrow"/>
        <family val="2"/>
      </rPr>
      <t>6.4.1</t>
    </r>
  </si>
  <si>
    <r>
      <rPr>
        <sz val="8"/>
        <rFont val="Arial Narrow"/>
        <family val="2"/>
      </rPr>
      <t>6.4.2</t>
    </r>
  </si>
  <si>
    <r>
      <rPr>
        <sz val="8"/>
        <rFont val="Arial Narrow"/>
        <family val="2"/>
      </rPr>
      <t>6.5.1</t>
    </r>
  </si>
  <si>
    <r>
      <rPr>
        <sz val="8"/>
        <rFont val="Arial Narrow"/>
        <family val="2"/>
      </rPr>
      <t>6.5.2</t>
    </r>
  </si>
  <si>
    <r>
      <rPr>
        <sz val="8"/>
        <rFont val="Arial Narrow"/>
        <family val="2"/>
      </rPr>
      <t>6.5.3</t>
    </r>
  </si>
  <si>
    <r>
      <rPr>
        <sz val="8"/>
        <rFont val="Arial Narrow"/>
        <family val="2"/>
      </rPr>
      <t>6.5.4</t>
    </r>
  </si>
  <si>
    <r>
      <rPr>
        <sz val="8"/>
        <rFont val="Arial Narrow"/>
        <family val="2"/>
      </rPr>
      <t>6.7.1</t>
    </r>
  </si>
  <si>
    <r>
      <rPr>
        <sz val="8"/>
        <rFont val="Arial Narrow"/>
        <family val="2"/>
      </rPr>
      <t>6.7.2</t>
    </r>
  </si>
  <si>
    <r>
      <rPr>
        <sz val="8"/>
        <rFont val="Arial Narrow"/>
        <family val="2"/>
      </rPr>
      <t>بدون تكلفة إضافية</t>
    </r>
  </si>
  <si>
    <r>
      <rPr>
        <sz val="8"/>
        <rFont val="Arial Narrow"/>
        <family val="2"/>
      </rPr>
      <t>6.8.1</t>
    </r>
  </si>
  <si>
    <r>
      <rPr>
        <sz val="8"/>
        <rFont val="Arial Narrow"/>
        <family val="2"/>
      </rPr>
      <t>6.8.2</t>
    </r>
  </si>
  <si>
    <r>
      <rPr>
        <sz val="8"/>
        <rFont val="Arial Narrow"/>
        <family val="2"/>
      </rPr>
      <t>6.8.3</t>
    </r>
  </si>
  <si>
    <r>
      <rPr>
        <sz val="8"/>
        <rFont val="Arial Narrow"/>
        <family val="2"/>
      </rPr>
      <t>6.8.4</t>
    </r>
  </si>
  <si>
    <r>
      <rPr>
        <sz val="8"/>
        <rFont val="Arial Narrow"/>
        <family val="2"/>
      </rPr>
      <t>6.9.1</t>
    </r>
  </si>
  <si>
    <r>
      <rPr>
        <sz val="8"/>
        <rFont val="Arial Narrow"/>
        <family val="2"/>
      </rPr>
      <t>7.1.1</t>
    </r>
  </si>
  <si>
    <r>
      <rPr>
        <sz val="8"/>
        <rFont val="Arial Narrow"/>
        <family val="2"/>
      </rPr>
      <t>7.1.2</t>
    </r>
  </si>
  <si>
    <r>
      <rPr>
        <sz val="8"/>
        <rFont val="Arial Narrow"/>
        <family val="2"/>
      </rPr>
      <t>7.2.1</t>
    </r>
  </si>
  <si>
    <r>
      <rPr>
        <sz val="8"/>
        <color indexed="18"/>
        <rFont val="Arial Narrow"/>
        <family val="2"/>
      </rPr>
      <t>7.3.1</t>
    </r>
  </si>
  <si>
    <r>
      <rPr>
        <sz val="8"/>
        <color indexed="8"/>
        <rFont val="Arial"/>
        <family val="2"/>
      </rPr>
      <t xml:space="preserve"> </t>
    </r>
  </si>
  <si>
    <r>
      <rPr>
        <b/>
        <sz val="8"/>
        <rFont val="Arial"/>
        <family val="2"/>
      </rPr>
      <t xml:space="preserve">مصاريف أخرى </t>
    </r>
  </si>
  <si>
    <r>
      <rPr>
        <b/>
        <sz val="8"/>
        <rFont val="Arial"/>
        <family val="2"/>
      </rPr>
      <t xml:space="preserve">التكلفة المقدرة للمخرج </t>
    </r>
  </si>
  <si>
    <r>
      <rPr>
        <b/>
        <sz val="8"/>
        <rFont val="Arial"/>
        <family val="2"/>
      </rPr>
      <t xml:space="preserve">مصادر التمويل (حسب المخرجات) </t>
    </r>
  </si>
  <si>
    <r>
      <rPr>
        <b/>
        <sz val="8"/>
        <rFont val="Arial"/>
        <family val="2"/>
      </rPr>
      <t xml:space="preserve">العدد </t>
    </r>
  </si>
  <si>
    <r>
      <rPr>
        <b/>
        <sz val="8"/>
        <rFont val="Arial"/>
        <family val="2"/>
      </rPr>
      <t>الإجراء</t>
    </r>
  </si>
  <si>
    <r>
      <rPr>
        <b/>
        <sz val="8"/>
        <rFont val="Arial"/>
        <family val="2"/>
      </rPr>
      <t>مؤشرات المخرج</t>
    </r>
  </si>
  <si>
    <r>
      <rPr>
        <b/>
        <sz val="8"/>
        <rFont val="Arial"/>
        <family val="2"/>
      </rPr>
      <t xml:space="preserve">صندوق رواتب الموظفين الإضافيين </t>
    </r>
  </si>
  <si>
    <r>
      <rPr>
        <b/>
        <sz val="8"/>
        <rFont val="Arial"/>
        <family val="2"/>
      </rPr>
      <t xml:space="preserve">مصاريف المؤتمرات / الحلقات النقاشية والدورات التدريبية   </t>
    </r>
  </si>
  <si>
    <r>
      <rPr>
        <b/>
        <sz val="8"/>
        <rFont val="Arial"/>
        <family val="2"/>
      </rPr>
      <t>خدمات استشارية مختلفة (المساعدة التقنية)</t>
    </r>
  </si>
  <si>
    <r>
      <rPr>
        <b/>
        <sz val="8"/>
        <rFont val="Arial"/>
        <family val="2"/>
      </rPr>
      <t xml:space="preserve">مصاريف المعلومات العامة (المطبوعات)  </t>
    </r>
  </si>
  <si>
    <r>
      <rPr>
        <b/>
        <sz val="8"/>
        <rFont val="Arial"/>
        <family val="2"/>
      </rPr>
      <t>النشاط مع / بدون تكلفة إضافية</t>
    </r>
  </si>
  <si>
    <r>
      <rPr>
        <b/>
        <sz val="8"/>
        <rFont val="Arial"/>
        <family val="2"/>
      </rPr>
      <t xml:space="preserve">الخبرة المحلية </t>
    </r>
  </si>
  <si>
    <r>
      <rPr>
        <b/>
        <sz val="8"/>
        <rFont val="Arial"/>
        <family val="2"/>
      </rPr>
      <t xml:space="preserve">الخبرة الأجنبية </t>
    </r>
  </si>
  <si>
    <r>
      <rPr>
        <b/>
        <sz val="8"/>
        <rFont val="Arial"/>
        <family val="2"/>
      </rPr>
      <t xml:space="preserve">تطوير البرمجيات الحاسوبية </t>
    </r>
  </si>
  <si>
    <r>
      <rPr>
        <b/>
        <sz val="8"/>
        <rFont val="Arial"/>
        <family val="2"/>
      </rPr>
      <t>الأجهزة المادية الحاسوبية</t>
    </r>
  </si>
  <si>
    <r>
      <rPr>
        <b/>
        <sz val="8"/>
        <rFont val="Arial"/>
        <family val="2"/>
      </rPr>
      <t xml:space="preserve">مستلزمات المكاتب </t>
    </r>
  </si>
  <si>
    <r>
      <rPr>
        <b/>
        <sz val="8"/>
        <rFont val="Arial"/>
        <family val="2"/>
      </rPr>
      <t xml:space="preserve">متوسط الراتب  </t>
    </r>
  </si>
  <si>
    <r>
      <rPr>
        <b/>
        <sz val="8"/>
        <rFont val="Arial"/>
        <family val="2"/>
      </rPr>
      <t>الشهر</t>
    </r>
  </si>
  <si>
    <r>
      <rPr>
        <b/>
        <sz val="8"/>
        <rFont val="Arial"/>
        <family val="2"/>
      </rPr>
      <t xml:space="preserve">القيمة الإجمالية </t>
    </r>
  </si>
  <si>
    <r>
      <rPr>
        <b/>
        <sz val="8"/>
        <rFont val="Arial"/>
        <family val="2"/>
      </rPr>
      <t>عدد الفعاليات التدريبية / الحلقات النقاشية</t>
    </r>
  </si>
  <si>
    <r>
      <rPr>
        <b/>
        <sz val="8"/>
        <rFont val="Arial"/>
        <family val="2"/>
      </rPr>
      <t>اليوم / النشاط</t>
    </r>
  </si>
  <si>
    <r>
      <rPr>
        <b/>
        <sz val="8"/>
        <rFont val="Arial"/>
        <family val="2"/>
      </rPr>
      <t>المشاركون في التدريب</t>
    </r>
  </si>
  <si>
    <r>
      <rPr>
        <b/>
        <sz val="8"/>
        <rFont val="Arial"/>
        <family val="2"/>
      </rPr>
      <t>إيجار القاعة / يوم</t>
    </r>
  </si>
  <si>
    <r>
      <rPr>
        <b/>
        <sz val="8"/>
        <rFont val="Arial"/>
        <family val="2"/>
      </rPr>
      <t>تكلفة الشخص الواحد (قهوة / مشروبات وأطعمة)</t>
    </r>
  </si>
  <si>
    <r>
      <rPr>
        <b/>
        <sz val="8"/>
        <rFont val="Arial"/>
        <family val="2"/>
      </rPr>
      <t xml:space="preserve">متوسط سعر السكن / ليلة </t>
    </r>
  </si>
  <si>
    <r>
      <rPr>
        <b/>
        <sz val="8"/>
        <rFont val="Arial"/>
        <family val="2"/>
      </rPr>
      <t xml:space="preserve">قيمة المادة التدريبية / للشخص </t>
    </r>
  </si>
  <si>
    <r>
      <rPr>
        <b/>
        <sz val="8"/>
        <rFont val="Arial"/>
        <family val="2"/>
      </rPr>
      <t>اليوم / الخبير</t>
    </r>
  </si>
  <si>
    <r>
      <rPr>
        <b/>
        <sz val="8"/>
        <rFont val="Arial"/>
        <family val="2"/>
      </rPr>
      <t xml:space="preserve">الإجمالي </t>
    </r>
  </si>
  <si>
    <r>
      <rPr>
        <b/>
        <sz val="8"/>
        <rFont val="Arial"/>
        <family val="2"/>
      </rPr>
      <t>اليوم / الخبير</t>
    </r>
  </si>
  <si>
    <r>
      <rPr>
        <b/>
        <sz val="8"/>
        <rFont val="Arial"/>
        <family val="2"/>
      </rPr>
      <t>الأجر</t>
    </r>
  </si>
  <si>
    <r>
      <rPr>
        <b/>
        <sz val="8"/>
        <rFont val="Arial"/>
        <family val="2"/>
      </rPr>
      <t>الإجمالي</t>
    </r>
  </si>
  <si>
    <r>
      <rPr>
        <b/>
        <sz val="8"/>
        <rFont val="Arial"/>
        <family val="2"/>
      </rPr>
      <t xml:space="preserve">قطعة / نشاط </t>
    </r>
  </si>
  <si>
    <r>
      <rPr>
        <b/>
        <sz val="8"/>
        <rFont val="Arial"/>
        <family val="2"/>
      </rPr>
      <t>قطعة / القيمة لكل وحدة</t>
    </r>
  </si>
  <si>
    <r>
      <rPr>
        <b/>
        <sz val="8"/>
        <rFont val="Arial"/>
        <family val="2"/>
      </rPr>
      <t>الإجمالي</t>
    </r>
  </si>
  <si>
    <r>
      <rPr>
        <b/>
        <sz val="8"/>
        <rFont val="Arial"/>
        <family val="2"/>
      </rPr>
      <t xml:space="preserve">قطعة </t>
    </r>
  </si>
  <si>
    <r>
      <rPr>
        <b/>
        <sz val="8"/>
        <rFont val="Arial"/>
        <family val="2"/>
      </rPr>
      <t>القيمة الإجمالية</t>
    </r>
  </si>
  <si>
    <r>
      <rPr>
        <b/>
        <sz val="8"/>
        <rFont val="Arial"/>
        <family val="2"/>
      </rPr>
      <t>قطعة</t>
    </r>
  </si>
  <si>
    <r>
      <rPr>
        <b/>
        <sz val="8"/>
        <rFont val="Arial"/>
        <family val="2"/>
      </rPr>
      <t>متوسط السعر / وحدة</t>
    </r>
  </si>
  <si>
    <r>
      <rPr>
        <b/>
        <sz val="8"/>
        <rFont val="Arial"/>
        <family val="2"/>
      </rPr>
      <t>القيمة الإجمالية</t>
    </r>
  </si>
  <si>
    <r>
      <rPr>
        <b/>
        <sz val="8"/>
        <rFont val="Arial"/>
        <family val="2"/>
      </rPr>
      <t>ميزانية الدولة (MTBP 2015-2017)</t>
    </r>
  </si>
  <si>
    <r>
      <rPr>
        <b/>
        <sz val="8"/>
        <rFont val="Arial"/>
        <family val="2"/>
      </rPr>
      <t>IPA</t>
    </r>
  </si>
  <si>
    <r>
      <rPr>
        <b/>
        <sz val="8"/>
        <rFont val="Arial"/>
        <family val="2"/>
      </rPr>
      <t>WB</t>
    </r>
  </si>
  <si>
    <r>
      <rPr>
        <b/>
        <sz val="8"/>
        <rFont val="Arial"/>
        <family val="2"/>
      </rPr>
      <t>برنامج الأمم المتحدة للتنمية</t>
    </r>
  </si>
  <si>
    <r>
      <rPr>
        <b/>
        <sz val="8"/>
        <rFont val="Arial"/>
        <family val="2"/>
      </rPr>
      <t>الفجوة المالية</t>
    </r>
  </si>
  <si>
    <r>
      <rPr>
        <b/>
        <sz val="8"/>
        <rFont val="Arial"/>
        <family val="2"/>
      </rPr>
      <t>IPA</t>
    </r>
  </si>
  <si>
    <r>
      <rPr>
        <b/>
        <sz val="8"/>
        <rFont val="Arial"/>
        <family val="2"/>
      </rPr>
      <t>WB</t>
    </r>
  </si>
  <si>
    <r>
      <rPr>
        <b/>
        <sz val="8"/>
        <rFont val="Arial"/>
        <family val="2"/>
      </rPr>
      <t>برنامج الأمم المتحدة للتنمية</t>
    </r>
  </si>
  <si>
    <r>
      <rPr>
        <b/>
        <sz val="8"/>
        <rFont val="Arial"/>
        <family val="2"/>
      </rPr>
      <t>الفجوة المالية</t>
    </r>
  </si>
  <si>
    <r>
      <rPr>
        <b/>
        <sz val="8"/>
        <rFont val="Arial"/>
        <family val="2"/>
      </rPr>
      <t>أ</t>
    </r>
  </si>
  <si>
    <r>
      <rPr>
        <b/>
        <sz val="8"/>
        <rFont val="Arial"/>
        <family val="2"/>
      </rPr>
      <t>ج</t>
    </r>
  </si>
  <si>
    <r>
      <rPr>
        <b/>
        <sz val="8"/>
        <rFont val="Arial"/>
        <family val="2"/>
      </rPr>
      <t>د</t>
    </r>
  </si>
  <si>
    <r>
      <rPr>
        <b/>
        <sz val="8"/>
        <rFont val="Arial"/>
        <family val="2"/>
      </rPr>
      <t>ه</t>
    </r>
  </si>
  <si>
    <r>
      <rPr>
        <b/>
        <sz val="8"/>
        <rFont val="Arial"/>
        <family val="2"/>
      </rPr>
      <t>و</t>
    </r>
  </si>
  <si>
    <r>
      <rPr>
        <sz val="8"/>
        <rFont val="Arial"/>
        <family val="2"/>
      </rPr>
      <t>1.1.1</t>
    </r>
  </si>
  <si>
    <r>
      <rPr>
        <sz val="8"/>
        <rFont val="Arial"/>
        <family val="2"/>
      </rPr>
      <t xml:space="preserve"> </t>
    </r>
  </si>
  <si>
    <r>
      <rPr>
        <sz val="8"/>
        <rFont val="Arial"/>
        <family val="2"/>
      </rPr>
      <t xml:space="preserve"> </t>
    </r>
  </si>
  <si>
    <r>
      <rPr>
        <sz val="8"/>
        <rFont val="Arial"/>
        <family val="2"/>
      </rPr>
      <t>1.1.2</t>
    </r>
  </si>
  <si>
    <r>
      <rPr>
        <sz val="8"/>
        <rFont val="Arial"/>
        <family val="2"/>
      </rPr>
      <t>1.2.1</t>
    </r>
  </si>
  <si>
    <r>
      <rPr>
        <sz val="8"/>
        <rFont val="Arial"/>
        <family val="2"/>
      </rPr>
      <t>1.3.1</t>
    </r>
  </si>
  <si>
    <r>
      <rPr>
        <sz val="8"/>
        <rFont val="Arial"/>
        <family val="2"/>
      </rPr>
      <t>1.4.1</t>
    </r>
  </si>
  <si>
    <r>
      <rPr>
        <sz val="8"/>
        <rFont val="Arial"/>
        <family val="2"/>
      </rPr>
      <t>بدون تكلفة إضافية</t>
    </r>
  </si>
  <si>
    <r>
      <rPr>
        <sz val="8"/>
        <rFont val="Arial"/>
        <family val="2"/>
      </rPr>
      <t>بدون تكلفة إضافية</t>
    </r>
  </si>
  <si>
    <r>
      <rPr>
        <sz val="8"/>
        <rFont val="Arial"/>
        <family val="2"/>
      </rPr>
      <t>1.5.2</t>
    </r>
  </si>
  <si>
    <r>
      <rPr>
        <sz val="8"/>
        <rFont val="Arial"/>
        <family val="2"/>
      </rPr>
      <t xml:space="preserve"> </t>
    </r>
  </si>
  <si>
    <r>
      <rPr>
        <sz val="8"/>
        <rFont val="Arial"/>
        <family val="2"/>
      </rPr>
      <t>2.1.1</t>
    </r>
  </si>
  <si>
    <r>
      <rPr>
        <sz val="8"/>
        <rFont val="Arial"/>
        <family val="2"/>
      </rPr>
      <t xml:space="preserve"> </t>
    </r>
  </si>
  <si>
    <r>
      <rPr>
        <sz val="8"/>
        <rFont val="Arial"/>
        <family val="2"/>
      </rPr>
      <t>2.1.2</t>
    </r>
  </si>
  <si>
    <r>
      <rPr>
        <sz val="8"/>
        <rFont val="Arial"/>
        <family val="2"/>
      </rPr>
      <t>2.2.1</t>
    </r>
  </si>
  <si>
    <r>
      <rPr>
        <sz val="8"/>
        <rFont val="Arial"/>
        <family val="2"/>
      </rPr>
      <t>بدون تكلفة إضافية</t>
    </r>
  </si>
  <si>
    <r>
      <rPr>
        <sz val="8"/>
        <rFont val="Arial"/>
        <family val="2"/>
      </rPr>
      <t>بدون تكلفة إضافية</t>
    </r>
  </si>
  <si>
    <r>
      <rPr>
        <sz val="8"/>
        <rFont val="Arial"/>
        <family val="2"/>
      </rPr>
      <t>2.2.3</t>
    </r>
  </si>
  <si>
    <r>
      <rPr>
        <sz val="8"/>
        <rFont val="Arial"/>
        <family val="2"/>
      </rPr>
      <t>بدون تكلفة إضافية</t>
    </r>
  </si>
  <si>
    <r>
      <rPr>
        <sz val="8"/>
        <rFont val="Arial"/>
        <family val="2"/>
      </rPr>
      <t>2.3.1</t>
    </r>
  </si>
  <si>
    <r>
      <rPr>
        <sz val="8"/>
        <rFont val="Arial"/>
        <family val="2"/>
      </rPr>
      <t>بدون تكلفة إضافية</t>
    </r>
  </si>
  <si>
    <r>
      <rPr>
        <sz val="8"/>
        <rFont val="Arial"/>
        <family val="2"/>
      </rPr>
      <t>2.3.2</t>
    </r>
  </si>
  <si>
    <r>
      <rPr>
        <sz val="8"/>
        <rFont val="Arial"/>
        <family val="2"/>
      </rPr>
      <t>2.4.1</t>
    </r>
  </si>
  <si>
    <r>
      <rPr>
        <sz val="8"/>
        <rFont val="Arial"/>
        <family val="2"/>
      </rPr>
      <t>2.4.2</t>
    </r>
  </si>
  <si>
    <r>
      <rPr>
        <sz val="8"/>
        <rFont val="Arial"/>
        <family val="2"/>
      </rPr>
      <t xml:space="preserve"> </t>
    </r>
  </si>
  <si>
    <r>
      <rPr>
        <sz val="8"/>
        <rFont val="Arial"/>
        <family val="2"/>
      </rPr>
      <t>2.4.3</t>
    </r>
  </si>
  <si>
    <r>
      <rPr>
        <sz val="8"/>
        <rFont val="Arial"/>
        <family val="2"/>
      </rPr>
      <t>بدون تكلفة إضافية</t>
    </r>
  </si>
  <si>
    <r>
      <rPr>
        <sz val="8"/>
        <rFont val="Arial"/>
        <family val="2"/>
      </rPr>
      <t>3.1.1</t>
    </r>
  </si>
  <si>
    <r>
      <rPr>
        <sz val="8"/>
        <rFont val="Arial"/>
        <family val="2"/>
      </rPr>
      <t>بدون تكلفة إضافية</t>
    </r>
  </si>
  <si>
    <r>
      <rPr>
        <sz val="8"/>
        <rFont val="Arial"/>
        <family val="2"/>
      </rPr>
      <t>3.1.2</t>
    </r>
  </si>
  <si>
    <r>
      <rPr>
        <sz val="8"/>
        <rFont val="Arial"/>
        <family val="2"/>
      </rPr>
      <t>بدون تكلفة إضافية</t>
    </r>
  </si>
  <si>
    <r>
      <rPr>
        <sz val="8"/>
        <rFont val="Arial"/>
        <family val="2"/>
      </rPr>
      <t>3.1.3</t>
    </r>
  </si>
  <si>
    <r>
      <rPr>
        <sz val="8"/>
        <rFont val="Arial"/>
        <family val="2"/>
      </rPr>
      <t>بدون تكلفة إضافية</t>
    </r>
  </si>
  <si>
    <r>
      <rPr>
        <sz val="8"/>
        <rFont val="Arial"/>
        <family val="2"/>
      </rPr>
      <t>3.2.1</t>
    </r>
  </si>
  <si>
    <r>
      <rPr>
        <sz val="8"/>
        <rFont val="Arial"/>
        <family val="2"/>
      </rPr>
      <t>3.2.2</t>
    </r>
  </si>
  <si>
    <r>
      <rPr>
        <sz val="8"/>
        <rFont val="Arial"/>
        <family val="2"/>
      </rPr>
      <t>3.2.3</t>
    </r>
  </si>
  <si>
    <r>
      <rPr>
        <sz val="8"/>
        <rFont val="Arial"/>
        <family val="2"/>
      </rPr>
      <t>3.2.4</t>
    </r>
  </si>
  <si>
    <r>
      <rPr>
        <sz val="8"/>
        <rFont val="Arial"/>
        <family val="2"/>
      </rPr>
      <t>بدون تكلفة إضافية</t>
    </r>
  </si>
  <si>
    <r>
      <rPr>
        <sz val="8"/>
        <rFont val="Arial"/>
        <family val="2"/>
      </rPr>
      <t>4.1.1</t>
    </r>
  </si>
  <si>
    <r>
      <rPr>
        <sz val="8"/>
        <rFont val="Arial"/>
        <family val="2"/>
      </rPr>
      <t>بدون تكلفة إضافية</t>
    </r>
  </si>
  <si>
    <r>
      <rPr>
        <sz val="8"/>
        <rFont val="Arial"/>
        <family val="2"/>
      </rPr>
      <t>4.1.2</t>
    </r>
  </si>
  <si>
    <r>
      <rPr>
        <sz val="8"/>
        <rFont val="Arial"/>
        <family val="2"/>
      </rPr>
      <t>4.2.1</t>
    </r>
  </si>
  <si>
    <r>
      <rPr>
        <sz val="8"/>
        <rFont val="Arial"/>
        <family val="2"/>
      </rPr>
      <t>بدون تكلفة إضافية</t>
    </r>
  </si>
  <si>
    <r>
      <rPr>
        <sz val="8"/>
        <rFont val="Arial"/>
        <family val="2"/>
      </rPr>
      <t>4.2.2</t>
    </r>
  </si>
  <si>
    <r>
      <rPr>
        <sz val="8"/>
        <rFont val="Arial"/>
        <family val="2"/>
      </rPr>
      <t xml:space="preserve"> </t>
    </r>
  </si>
  <si>
    <r>
      <rPr>
        <sz val="8"/>
        <rFont val="Arial"/>
        <family val="2"/>
      </rPr>
      <t>4.3.1</t>
    </r>
  </si>
  <si>
    <r>
      <rPr>
        <sz val="8"/>
        <rFont val="Arial"/>
        <family val="2"/>
      </rPr>
      <t>بدون تكلفة إضافية</t>
    </r>
  </si>
  <si>
    <r>
      <rPr>
        <sz val="8"/>
        <rFont val="Arial"/>
        <family val="2"/>
      </rPr>
      <t>بدون تكلفة إضافية</t>
    </r>
  </si>
  <si>
    <r>
      <rPr>
        <sz val="8"/>
        <rFont val="Arial"/>
        <family val="2"/>
      </rPr>
      <t>5.2.1</t>
    </r>
  </si>
  <si>
    <r>
      <rPr>
        <sz val="8"/>
        <rFont val="Arial"/>
        <family val="2"/>
      </rPr>
      <t>بدون تكلفة إضافية</t>
    </r>
  </si>
  <si>
    <r>
      <rPr>
        <sz val="8"/>
        <rFont val="Arial"/>
        <family val="2"/>
      </rPr>
      <t>بدون تكلفة إضافية</t>
    </r>
  </si>
  <si>
    <r>
      <rPr>
        <sz val="8"/>
        <rFont val="Arial"/>
        <family val="2"/>
      </rPr>
      <t>بدون تكلفة إضافية</t>
    </r>
  </si>
  <si>
    <r>
      <rPr>
        <sz val="8"/>
        <rFont val="Arial"/>
        <family val="2"/>
      </rPr>
      <t xml:space="preserve"> </t>
    </r>
  </si>
  <si>
    <r>
      <rPr>
        <b/>
        <sz val="8"/>
        <rFont val="Arial"/>
        <family val="2"/>
      </rPr>
      <t xml:space="preserve">الاستثمارات  </t>
    </r>
  </si>
  <si>
    <r>
      <rPr>
        <b/>
        <sz val="8"/>
        <rFont val="Arial"/>
        <family val="2"/>
      </rPr>
      <t xml:space="preserve">التكلفة المقدرة للمخرج </t>
    </r>
  </si>
  <si>
    <r>
      <rPr>
        <b/>
        <sz val="8"/>
        <rFont val="Arial"/>
        <family val="2"/>
      </rPr>
      <t xml:space="preserve">مصادر التمويل (حسب المخرجات) </t>
    </r>
  </si>
  <si>
    <r>
      <rPr>
        <b/>
        <sz val="8"/>
        <rFont val="Arial"/>
        <family val="2"/>
      </rPr>
      <t xml:space="preserve">العدد </t>
    </r>
  </si>
  <si>
    <r>
      <rPr>
        <b/>
        <sz val="8"/>
        <rFont val="Arial"/>
        <family val="2"/>
      </rPr>
      <t>الإجراء</t>
    </r>
  </si>
  <si>
    <r>
      <rPr>
        <b/>
        <sz val="8"/>
        <rFont val="Arial"/>
        <family val="2"/>
      </rPr>
      <t>مؤشرات المخرج</t>
    </r>
  </si>
  <si>
    <r>
      <rPr>
        <b/>
        <sz val="8"/>
        <rFont val="Arial"/>
        <family val="2"/>
      </rPr>
      <t xml:space="preserve">صندوق رواتب الموظفين الإضافيين </t>
    </r>
  </si>
  <si>
    <r>
      <rPr>
        <b/>
        <sz val="8"/>
        <rFont val="Arial"/>
        <family val="2"/>
      </rPr>
      <t xml:space="preserve">مصاريف المؤتمرات / الحلقات النقاشية والدورات التدريبية   </t>
    </r>
  </si>
  <si>
    <r>
      <rPr>
        <b/>
        <sz val="8"/>
        <rFont val="Arial"/>
        <family val="2"/>
      </rPr>
      <t>خدمات استشارية مختلفة (المساعدة التقنية)</t>
    </r>
  </si>
  <si>
    <r>
      <rPr>
        <b/>
        <sz val="8"/>
        <rFont val="Arial"/>
        <family val="2"/>
      </rPr>
      <t xml:space="preserve">مصاريف المعلومات العامة (المطبوعات)   </t>
    </r>
  </si>
  <si>
    <r>
      <rPr>
        <b/>
        <sz val="8"/>
        <rFont val="Arial"/>
        <family val="2"/>
      </rPr>
      <t>النشاط مع / بدون تكلفة إضافية</t>
    </r>
  </si>
  <si>
    <r>
      <rPr>
        <b/>
        <sz val="8"/>
        <rFont val="Arial"/>
        <family val="2"/>
      </rPr>
      <t xml:space="preserve">الخبرة المحلية </t>
    </r>
  </si>
  <si>
    <r>
      <rPr>
        <b/>
        <sz val="8"/>
        <rFont val="Arial"/>
        <family val="2"/>
      </rPr>
      <t xml:space="preserve">الخبرة الأجنبية </t>
    </r>
  </si>
  <si>
    <r>
      <rPr>
        <b/>
        <sz val="8"/>
        <rFont val="Arial"/>
        <family val="2"/>
      </rPr>
      <t xml:space="preserve">المباني </t>
    </r>
  </si>
  <si>
    <r>
      <rPr>
        <b/>
        <sz val="8"/>
        <rFont val="Arial"/>
        <family val="2"/>
      </rPr>
      <t xml:space="preserve">تطوير البرمجيات الحاسوبية </t>
    </r>
  </si>
  <si>
    <r>
      <rPr>
        <b/>
        <sz val="8"/>
        <rFont val="Arial"/>
        <family val="2"/>
      </rPr>
      <t>الأجهزة المادية الحاسوبية</t>
    </r>
  </si>
  <si>
    <r>
      <rPr>
        <b/>
        <sz val="8"/>
        <rFont val="Arial"/>
        <family val="2"/>
      </rPr>
      <t xml:space="preserve">مستلزمات المكاتب </t>
    </r>
  </si>
  <si>
    <r>
      <rPr>
        <b/>
        <sz val="8"/>
        <rFont val="Arial"/>
        <family val="2"/>
      </rPr>
      <t>العدد</t>
    </r>
  </si>
  <si>
    <r>
      <rPr>
        <b/>
        <sz val="8"/>
        <rFont val="Arial"/>
        <family val="2"/>
      </rPr>
      <t xml:space="preserve">متوسط الراتب  </t>
    </r>
  </si>
  <si>
    <r>
      <rPr>
        <b/>
        <sz val="8"/>
        <rFont val="Arial"/>
        <family val="2"/>
      </rPr>
      <t>الشهر</t>
    </r>
  </si>
  <si>
    <r>
      <rPr>
        <b/>
        <sz val="8"/>
        <rFont val="Arial"/>
        <family val="2"/>
      </rPr>
      <t xml:space="preserve">القيمة الإجمالية </t>
    </r>
  </si>
  <si>
    <r>
      <rPr>
        <b/>
        <sz val="8"/>
        <rFont val="Arial"/>
        <family val="2"/>
      </rPr>
      <t>عدد الفعاليات التدريبية / الحلقات النقاشية</t>
    </r>
  </si>
  <si>
    <r>
      <rPr>
        <b/>
        <sz val="8"/>
        <rFont val="Arial"/>
        <family val="2"/>
      </rPr>
      <t>اليوم / النشاط</t>
    </r>
  </si>
  <si>
    <r>
      <rPr>
        <b/>
        <sz val="8"/>
        <rFont val="Arial"/>
        <family val="2"/>
      </rPr>
      <t>المشاركون في التدريب</t>
    </r>
  </si>
  <si>
    <r>
      <rPr>
        <b/>
        <sz val="8"/>
        <rFont val="Arial"/>
        <family val="2"/>
      </rPr>
      <t>إيجار القاعة / يوم</t>
    </r>
  </si>
  <si>
    <r>
      <rPr>
        <b/>
        <sz val="8"/>
        <rFont val="Arial"/>
        <family val="2"/>
      </rPr>
      <t xml:space="preserve">قيمة المادة التدريبية / للشخص </t>
    </r>
  </si>
  <si>
    <r>
      <rPr>
        <b/>
        <sz val="8"/>
        <rFont val="Arial"/>
        <family val="2"/>
      </rPr>
      <t>أجر المدرب / يوم</t>
    </r>
  </si>
  <si>
    <r>
      <rPr>
        <b/>
        <sz val="8"/>
        <rFont val="Arial"/>
        <family val="2"/>
      </rPr>
      <t>الإجمالي</t>
    </r>
  </si>
  <si>
    <r>
      <rPr>
        <b/>
        <sz val="8"/>
        <rFont val="Arial"/>
        <family val="2"/>
      </rPr>
      <t>اليوم / الخبير</t>
    </r>
  </si>
  <si>
    <r>
      <rPr>
        <b/>
        <sz val="8"/>
        <rFont val="Arial"/>
        <family val="2"/>
      </rPr>
      <t>الأجر</t>
    </r>
  </si>
  <si>
    <r>
      <rPr>
        <b/>
        <sz val="8"/>
        <rFont val="Arial"/>
        <family val="2"/>
      </rPr>
      <t xml:space="preserve">الإجمالي </t>
    </r>
  </si>
  <si>
    <r>
      <rPr>
        <b/>
        <sz val="8"/>
        <rFont val="Arial"/>
        <family val="2"/>
      </rPr>
      <t>اليوم / الخبير</t>
    </r>
  </si>
  <si>
    <r>
      <rPr>
        <b/>
        <sz val="8"/>
        <rFont val="Arial"/>
        <family val="2"/>
      </rPr>
      <t>الأجر</t>
    </r>
  </si>
  <si>
    <r>
      <rPr>
        <b/>
        <sz val="8"/>
        <rFont val="Arial"/>
        <family val="2"/>
      </rPr>
      <t>الإجمالي</t>
    </r>
  </si>
  <si>
    <r>
      <rPr>
        <b/>
        <sz val="8"/>
        <rFont val="Arial"/>
        <family val="2"/>
      </rPr>
      <t xml:space="preserve">قطعة / نشاط </t>
    </r>
  </si>
  <si>
    <r>
      <rPr>
        <b/>
        <sz val="8"/>
        <rFont val="Arial"/>
        <family val="2"/>
      </rPr>
      <t>قطعة / القيمة لكل وحدة</t>
    </r>
  </si>
  <si>
    <r>
      <rPr>
        <b/>
        <sz val="8"/>
        <rFont val="Arial"/>
        <family val="2"/>
      </rPr>
      <t>الإجمالي</t>
    </r>
  </si>
  <si>
    <r>
      <rPr>
        <b/>
        <sz val="8"/>
        <rFont val="Arial"/>
        <family val="2"/>
      </rPr>
      <t xml:space="preserve">قطعة </t>
    </r>
  </si>
  <si>
    <r>
      <rPr>
        <b/>
        <sz val="8"/>
        <rFont val="Arial"/>
        <family val="2"/>
      </rPr>
      <t>متوسط السعر / وحدة</t>
    </r>
  </si>
  <si>
    <r>
      <rPr>
        <b/>
        <sz val="8"/>
        <rFont val="Arial"/>
        <family val="2"/>
      </rPr>
      <t>القيمة الإجمالية</t>
    </r>
  </si>
  <si>
    <r>
      <rPr>
        <b/>
        <sz val="8"/>
        <rFont val="Arial"/>
        <family val="2"/>
      </rPr>
      <t>قطعة</t>
    </r>
  </si>
  <si>
    <r>
      <rPr>
        <b/>
        <sz val="8"/>
        <rFont val="Arial"/>
        <family val="2"/>
      </rPr>
      <t>متوسط السعر / وحدة</t>
    </r>
  </si>
  <si>
    <r>
      <rPr>
        <b/>
        <sz val="8"/>
        <rFont val="Arial"/>
        <family val="2"/>
      </rPr>
      <t>القيمة الإجمالية</t>
    </r>
  </si>
  <si>
    <r>
      <rPr>
        <b/>
        <sz val="8"/>
        <rFont val="Arial"/>
        <family val="2"/>
      </rPr>
      <t>ميزانية الدولة (MTBP 2015-2017)</t>
    </r>
  </si>
  <si>
    <r>
      <rPr>
        <b/>
        <sz val="8"/>
        <rFont val="Arial"/>
        <family val="2"/>
      </rPr>
      <t>IPA</t>
    </r>
  </si>
  <si>
    <r>
      <rPr>
        <b/>
        <sz val="8"/>
        <rFont val="Arial"/>
        <family val="2"/>
      </rPr>
      <t>WB</t>
    </r>
  </si>
  <si>
    <r>
      <rPr>
        <b/>
        <sz val="8"/>
        <rFont val="Arial"/>
        <family val="2"/>
      </rPr>
      <t>برنامج الأمم المتحدة للتنمية</t>
    </r>
  </si>
  <si>
    <r>
      <rPr>
        <b/>
        <sz val="8"/>
        <rFont val="Arial"/>
        <family val="2"/>
      </rPr>
      <t>الفجوة المالية</t>
    </r>
  </si>
  <si>
    <r>
      <rPr>
        <b/>
        <sz val="8"/>
        <rFont val="Arial"/>
        <family val="2"/>
      </rPr>
      <t>أ</t>
    </r>
  </si>
  <si>
    <r>
      <rPr>
        <b/>
        <sz val="8"/>
        <rFont val="Arial"/>
        <family val="2"/>
      </rPr>
      <t>ب</t>
    </r>
  </si>
  <si>
    <r>
      <rPr>
        <b/>
        <sz val="8"/>
        <rFont val="Arial"/>
        <family val="2"/>
      </rPr>
      <t>ج</t>
    </r>
  </si>
  <si>
    <r>
      <rPr>
        <b/>
        <sz val="8"/>
        <rFont val="Arial"/>
        <family val="2"/>
      </rPr>
      <t>د</t>
    </r>
  </si>
  <si>
    <r>
      <rPr>
        <b/>
        <sz val="8"/>
        <rFont val="Arial"/>
        <family val="2"/>
      </rPr>
      <t>ه</t>
    </r>
  </si>
  <si>
    <r>
      <rPr>
        <b/>
        <sz val="8"/>
        <rFont val="Arial"/>
        <family val="2"/>
      </rPr>
      <t>و</t>
    </r>
  </si>
  <si>
    <r>
      <rPr>
        <sz val="8"/>
        <rFont val="Arial"/>
        <family val="2"/>
      </rPr>
      <t>1.1.1</t>
    </r>
  </si>
  <si>
    <r>
      <rPr>
        <sz val="8"/>
        <rFont val="Arial"/>
        <family val="2"/>
      </rPr>
      <t>1.1.2</t>
    </r>
  </si>
  <si>
    <r>
      <rPr>
        <sz val="8"/>
        <rFont val="Arial"/>
        <family val="2"/>
      </rPr>
      <t xml:space="preserve">المساعدة التقنية  </t>
    </r>
  </si>
  <si>
    <r>
      <rPr>
        <sz val="8"/>
        <rFont val="Arial"/>
        <family val="2"/>
      </rPr>
      <t>1.1.3</t>
    </r>
  </si>
  <si>
    <r>
      <rPr>
        <sz val="8"/>
        <rFont val="Arial"/>
        <family val="2"/>
      </rPr>
      <t>1.1.4</t>
    </r>
  </si>
  <si>
    <r>
      <rPr>
        <sz val="8"/>
        <rFont val="Arial"/>
        <family val="2"/>
      </rPr>
      <t xml:space="preserve">المساعدة التقنية </t>
    </r>
  </si>
  <si>
    <r>
      <rPr>
        <sz val="8"/>
        <rFont val="Arial"/>
        <family val="2"/>
      </rPr>
      <t>1.1.5</t>
    </r>
  </si>
  <si>
    <r>
      <rPr>
        <sz val="8"/>
        <rFont val="Arial"/>
        <family val="2"/>
      </rPr>
      <t>1.1.6</t>
    </r>
  </si>
  <si>
    <r>
      <rPr>
        <sz val="8"/>
        <rFont val="Arial"/>
        <family val="2"/>
      </rPr>
      <t xml:space="preserve">المساعدة التقنية </t>
    </r>
  </si>
  <si>
    <r>
      <rPr>
        <sz val="8"/>
        <rFont val="Arial"/>
        <family val="2"/>
      </rPr>
      <t>1.1.7</t>
    </r>
  </si>
  <si>
    <r>
      <rPr>
        <sz val="8"/>
        <rFont val="Arial"/>
        <family val="2"/>
      </rPr>
      <t xml:space="preserve">المساعدة التقنية </t>
    </r>
  </si>
  <si>
    <r>
      <rPr>
        <sz val="8"/>
        <rFont val="Arial"/>
        <family val="2"/>
      </rPr>
      <t>1.1.8</t>
    </r>
  </si>
  <si>
    <r>
      <rPr>
        <sz val="8"/>
        <rFont val="Arial"/>
        <family val="2"/>
      </rPr>
      <t>1.1.9</t>
    </r>
  </si>
  <si>
    <r>
      <rPr>
        <sz val="8"/>
        <rFont val="Arial"/>
        <family val="2"/>
      </rPr>
      <t>1.1.10</t>
    </r>
  </si>
  <si>
    <r>
      <rPr>
        <sz val="8"/>
        <rFont val="Arial"/>
        <family val="2"/>
      </rPr>
      <t>1.2.1</t>
    </r>
  </si>
  <si>
    <r>
      <rPr>
        <sz val="8"/>
        <rFont val="Arial"/>
        <family val="2"/>
      </rPr>
      <t xml:space="preserve">المساعدة التقنية  </t>
    </r>
  </si>
  <si>
    <r>
      <rPr>
        <sz val="8"/>
        <rFont val="Arial"/>
        <family val="2"/>
      </rPr>
      <t>1.2.2</t>
    </r>
  </si>
  <si>
    <r>
      <rPr>
        <sz val="8"/>
        <rFont val="Arial"/>
        <family val="2"/>
      </rPr>
      <t>1.2.3</t>
    </r>
  </si>
  <si>
    <r>
      <rPr>
        <sz val="8"/>
        <rFont val="Arial"/>
        <family val="2"/>
      </rPr>
      <t>1.2.1</t>
    </r>
  </si>
  <si>
    <r>
      <rPr>
        <sz val="8"/>
        <rFont val="Arial"/>
        <family val="2"/>
      </rPr>
      <t xml:space="preserve">المساعدة التقنية  </t>
    </r>
  </si>
  <si>
    <r>
      <rPr>
        <sz val="8"/>
        <rFont val="Arial"/>
        <family val="2"/>
      </rPr>
      <t>1 ekspert I huaj dhe 1 lokal</t>
    </r>
  </si>
  <si>
    <r>
      <rPr>
        <sz val="8"/>
        <rFont val="Arial"/>
        <family val="2"/>
      </rPr>
      <t>1.2.2</t>
    </r>
  </si>
  <si>
    <r>
      <rPr>
        <sz val="8"/>
        <rFont val="Arial"/>
        <family val="2"/>
      </rPr>
      <t xml:space="preserve">المساعدة التقنية  </t>
    </r>
  </si>
  <si>
    <r>
      <rPr>
        <sz val="8"/>
        <rFont val="Arial"/>
        <family val="2"/>
      </rPr>
      <t xml:space="preserve">المساعدة التقنية  </t>
    </r>
  </si>
  <si>
    <r>
      <rPr>
        <sz val="8"/>
        <rFont val="Arial"/>
        <family val="2"/>
      </rPr>
      <t>1.2.3</t>
    </r>
  </si>
  <si>
    <r>
      <rPr>
        <sz val="8"/>
        <rFont val="Arial"/>
        <family val="2"/>
      </rPr>
      <t xml:space="preserve">المساعدة التقنية  </t>
    </r>
  </si>
  <si>
    <r>
      <rPr>
        <sz val="8"/>
        <rFont val="Arial"/>
        <family val="2"/>
      </rPr>
      <t>1.3.1</t>
    </r>
  </si>
  <si>
    <r>
      <rPr>
        <sz val="8"/>
        <rFont val="Arial"/>
        <family val="2"/>
      </rPr>
      <t>1.3.2</t>
    </r>
  </si>
  <si>
    <r>
      <rPr>
        <sz val="8"/>
        <rFont val="Arial"/>
        <family val="2"/>
      </rPr>
      <t>1.3.3</t>
    </r>
  </si>
  <si>
    <r>
      <rPr>
        <sz val="8"/>
        <rFont val="Arial"/>
        <family val="2"/>
      </rPr>
      <t>1.4.1</t>
    </r>
  </si>
  <si>
    <r>
      <rPr>
        <sz val="8"/>
        <rFont val="Arial"/>
        <family val="2"/>
      </rPr>
      <t xml:space="preserve"> </t>
    </r>
  </si>
  <si>
    <r>
      <rPr>
        <sz val="8"/>
        <rFont val="Arial"/>
        <family val="2"/>
      </rPr>
      <t>1.4.3</t>
    </r>
  </si>
  <si>
    <r>
      <rPr>
        <sz val="8"/>
        <rFont val="Arial"/>
        <family val="2"/>
      </rPr>
      <t>1.5.2</t>
    </r>
  </si>
  <si>
    <r>
      <rPr>
        <sz val="8"/>
        <rFont val="Arial"/>
        <family val="2"/>
      </rPr>
      <t>1.5.3</t>
    </r>
  </si>
  <si>
    <r>
      <rPr>
        <sz val="8"/>
        <rFont val="Arial"/>
        <family val="2"/>
      </rPr>
      <t>1.6.1</t>
    </r>
  </si>
  <si>
    <r>
      <rPr>
        <sz val="8"/>
        <rFont val="Arial"/>
        <family val="2"/>
      </rPr>
      <t>1.8.1</t>
    </r>
  </si>
  <si>
    <r>
      <rPr>
        <sz val="8"/>
        <rFont val="Arial"/>
        <family val="2"/>
      </rPr>
      <t>1.8.2</t>
    </r>
  </si>
  <si>
    <r>
      <rPr>
        <sz val="8"/>
        <rFont val="Arial"/>
        <family val="2"/>
      </rPr>
      <t>1.8.3</t>
    </r>
  </si>
  <si>
    <r>
      <rPr>
        <sz val="8"/>
        <rFont val="Arial"/>
        <family val="2"/>
      </rPr>
      <t>1.8.4</t>
    </r>
  </si>
  <si>
    <r>
      <rPr>
        <sz val="8"/>
        <rFont val="Arial"/>
        <family val="2"/>
      </rPr>
      <t>2.1.1</t>
    </r>
  </si>
  <si>
    <r>
      <rPr>
        <sz val="8"/>
        <rFont val="Arial"/>
        <family val="2"/>
      </rPr>
      <t xml:space="preserve">المساعدة التقنية  </t>
    </r>
  </si>
  <si>
    <r>
      <rPr>
        <sz val="8"/>
        <rFont val="Arial"/>
        <family val="2"/>
      </rPr>
      <t>2.1.2</t>
    </r>
  </si>
  <si>
    <r>
      <rPr>
        <sz val="8"/>
        <rFont val="Arial"/>
        <family val="2"/>
      </rPr>
      <t xml:space="preserve">المساعدة التقنية  </t>
    </r>
  </si>
  <si>
    <r>
      <rPr>
        <sz val="8"/>
        <rFont val="Arial"/>
        <family val="2"/>
      </rPr>
      <t>2.1.3</t>
    </r>
  </si>
  <si>
    <r>
      <rPr>
        <sz val="8"/>
        <rFont val="Arial"/>
        <family val="2"/>
      </rPr>
      <t>2.2.1</t>
    </r>
  </si>
  <si>
    <r>
      <rPr>
        <sz val="8"/>
        <rFont val="Arial"/>
        <family val="2"/>
      </rPr>
      <t xml:space="preserve">المساعدة التقنية  </t>
    </r>
  </si>
  <si>
    <r>
      <rPr>
        <sz val="8"/>
        <rFont val="Arial"/>
        <family val="2"/>
      </rPr>
      <t>2.2.2</t>
    </r>
  </si>
  <si>
    <r>
      <rPr>
        <sz val="8"/>
        <rFont val="Arial"/>
        <family val="2"/>
      </rPr>
      <t xml:space="preserve">المساعدة التقنية  </t>
    </r>
  </si>
  <si>
    <r>
      <rPr>
        <sz val="8"/>
        <rFont val="Arial"/>
        <family val="2"/>
      </rPr>
      <t>2.2.3</t>
    </r>
  </si>
  <si>
    <r>
      <rPr>
        <sz val="8"/>
        <rFont val="Arial"/>
        <family val="2"/>
      </rPr>
      <t xml:space="preserve">المساعدة التقنية  </t>
    </r>
  </si>
  <si>
    <r>
      <rPr>
        <sz val="8"/>
        <rFont val="Arial"/>
        <family val="2"/>
      </rPr>
      <t>2.3.1</t>
    </r>
  </si>
  <si>
    <r>
      <rPr>
        <sz val="8"/>
        <rFont val="Arial"/>
        <family val="2"/>
      </rPr>
      <t xml:space="preserve">المساعدة التقنية  </t>
    </r>
  </si>
  <si>
    <r>
      <rPr>
        <sz val="8"/>
        <rFont val="Arial"/>
        <family val="2"/>
      </rPr>
      <t>2.3.3</t>
    </r>
  </si>
  <si>
    <r>
      <rPr>
        <sz val="8"/>
        <rFont val="Arial"/>
        <family val="2"/>
      </rPr>
      <t>2.4.1</t>
    </r>
  </si>
  <si>
    <r>
      <rPr>
        <sz val="8"/>
        <rFont val="Arial"/>
        <family val="2"/>
      </rPr>
      <t xml:space="preserve">المساعدة التقنية  </t>
    </r>
  </si>
  <si>
    <r>
      <rPr>
        <sz val="8"/>
        <rFont val="Arial"/>
        <family val="2"/>
      </rPr>
      <t>2.4.2</t>
    </r>
  </si>
  <si>
    <r>
      <rPr>
        <sz val="8"/>
        <rFont val="Arial"/>
        <family val="2"/>
      </rPr>
      <t xml:space="preserve">المساعدة التقنية  </t>
    </r>
  </si>
  <si>
    <r>
      <rPr>
        <sz val="8"/>
        <rFont val="Arial"/>
        <family val="2"/>
      </rPr>
      <t>2.4.3</t>
    </r>
  </si>
  <si>
    <r>
      <rPr>
        <sz val="8"/>
        <rFont val="Arial"/>
        <family val="2"/>
      </rPr>
      <t xml:space="preserve">المساعدة التقنية  </t>
    </r>
  </si>
  <si>
    <r>
      <rPr>
        <sz val="8"/>
        <rFont val="Arial"/>
        <family val="2"/>
      </rPr>
      <t xml:space="preserve">المساعدة التقنية  </t>
    </r>
  </si>
  <si>
    <r>
      <rPr>
        <sz val="8"/>
        <rFont val="Arial"/>
        <family val="2"/>
      </rPr>
      <t>2.5.1</t>
    </r>
  </si>
  <si>
    <r>
      <rPr>
        <sz val="8"/>
        <rFont val="Arial"/>
        <family val="2"/>
      </rPr>
      <t xml:space="preserve">المساعدة التقنية  </t>
    </r>
  </si>
  <si>
    <r>
      <rPr>
        <sz val="8"/>
        <rFont val="Arial"/>
        <family val="2"/>
      </rPr>
      <t>2.5.2</t>
    </r>
  </si>
  <si>
    <r>
      <rPr>
        <sz val="8"/>
        <rFont val="Arial"/>
        <family val="2"/>
      </rPr>
      <t>2.5.3</t>
    </r>
  </si>
  <si>
    <r>
      <rPr>
        <sz val="8"/>
        <rFont val="Arial"/>
        <family val="2"/>
      </rPr>
      <t xml:space="preserve">المساعدة التقنية  </t>
    </r>
  </si>
  <si>
    <r>
      <rPr>
        <sz val="8"/>
        <rFont val="Arial"/>
        <family val="2"/>
      </rPr>
      <t>2.6.1</t>
    </r>
  </si>
  <si>
    <r>
      <rPr>
        <sz val="8"/>
        <rFont val="Arial"/>
        <family val="2"/>
      </rPr>
      <t>2.6.2</t>
    </r>
  </si>
  <si>
    <r>
      <rPr>
        <sz val="8"/>
        <rFont val="Arial"/>
        <family val="2"/>
      </rPr>
      <t>التدريب من خلال ASPA</t>
    </r>
  </si>
  <si>
    <r>
      <rPr>
        <sz val="8"/>
        <rFont val="Arial"/>
        <family val="2"/>
      </rPr>
      <t>التدريب من خلال ASPA</t>
    </r>
  </si>
  <si>
    <r>
      <rPr>
        <sz val="8"/>
        <rFont val="Arial"/>
        <family val="2"/>
      </rPr>
      <t xml:space="preserve">لا تكلفة </t>
    </r>
  </si>
  <si>
    <r>
      <rPr>
        <sz val="8"/>
        <rFont val="Arial"/>
        <family val="2"/>
      </rPr>
      <t>3.1.1</t>
    </r>
  </si>
  <si>
    <r>
      <rPr>
        <sz val="8"/>
        <rFont val="Arial"/>
        <family val="2"/>
      </rPr>
      <t>3.1.2</t>
    </r>
  </si>
  <si>
    <r>
      <rPr>
        <sz val="8"/>
        <rFont val="Arial"/>
        <family val="2"/>
      </rPr>
      <t>3.1.3</t>
    </r>
  </si>
  <si>
    <r>
      <rPr>
        <sz val="8"/>
        <rFont val="Arial"/>
        <family val="2"/>
      </rPr>
      <t>3.1.4</t>
    </r>
  </si>
  <si>
    <r>
      <rPr>
        <sz val="8"/>
        <rFont val="Arial"/>
        <family val="2"/>
      </rPr>
      <t>3.1.5</t>
    </r>
  </si>
  <si>
    <r>
      <rPr>
        <sz val="8"/>
        <rFont val="Arial"/>
        <family val="2"/>
      </rPr>
      <t>3.1.6</t>
    </r>
  </si>
  <si>
    <r>
      <rPr>
        <sz val="8"/>
        <rFont val="Arial"/>
        <family val="2"/>
      </rPr>
      <t xml:space="preserve"> </t>
    </r>
  </si>
  <si>
    <r>
      <rPr>
        <sz val="8"/>
        <rFont val="Arial"/>
        <family val="2"/>
      </rPr>
      <t xml:space="preserve">لا تكلفة </t>
    </r>
  </si>
  <si>
    <r>
      <rPr>
        <sz val="8"/>
        <rFont val="Arial"/>
        <family val="2"/>
      </rPr>
      <t>3.2.1</t>
    </r>
  </si>
  <si>
    <r>
      <rPr>
        <sz val="8"/>
        <rFont val="Arial"/>
        <family val="2"/>
      </rPr>
      <t>3.2.2</t>
    </r>
  </si>
  <si>
    <r>
      <rPr>
        <sz val="8"/>
        <rFont val="Arial"/>
        <family val="2"/>
      </rPr>
      <t>3.2.3</t>
    </r>
  </si>
  <si>
    <r>
      <rPr>
        <sz val="8"/>
        <rFont val="Arial"/>
        <family val="2"/>
      </rPr>
      <t>3.2.4</t>
    </r>
  </si>
  <si>
    <r>
      <rPr>
        <sz val="8"/>
        <rFont val="Arial"/>
        <family val="2"/>
      </rPr>
      <t>1 خبير أجنبي</t>
    </r>
  </si>
  <si>
    <r>
      <rPr>
        <sz val="8"/>
        <rFont val="Arial"/>
        <family val="2"/>
      </rPr>
      <t>3.4.1</t>
    </r>
  </si>
  <si>
    <r>
      <rPr>
        <sz val="8"/>
        <rFont val="Arial"/>
        <family val="2"/>
      </rPr>
      <t xml:space="preserve">لا تكلفة </t>
    </r>
  </si>
  <si>
    <r>
      <rPr>
        <sz val="8"/>
        <rFont val="Arial"/>
        <family val="2"/>
      </rPr>
      <t>3.4.2</t>
    </r>
  </si>
  <si>
    <r>
      <rPr>
        <sz val="8"/>
        <rFont val="Arial"/>
        <family val="2"/>
      </rPr>
      <t>3.4.3</t>
    </r>
  </si>
  <si>
    <r>
      <rPr>
        <sz val="8"/>
        <rFont val="Arial"/>
        <family val="2"/>
      </rPr>
      <t>NAIS</t>
    </r>
  </si>
  <si>
    <r>
      <rPr>
        <sz val="8"/>
        <rFont val="Arial"/>
        <family val="2"/>
      </rPr>
      <t>3.4.4</t>
    </r>
  </si>
  <si>
    <r>
      <rPr>
        <sz val="8"/>
        <color indexed="60"/>
        <rFont val="Arial"/>
        <family val="2"/>
      </rPr>
      <t xml:space="preserve">لا تكلفة </t>
    </r>
  </si>
  <si>
    <r>
      <rPr>
        <sz val="8"/>
        <rFont val="Arial"/>
        <family val="2"/>
      </rPr>
      <t xml:space="preserve"> </t>
    </r>
  </si>
  <si>
    <r>
      <rPr>
        <b/>
        <sz val="8"/>
        <rFont val="Arial"/>
        <family val="2"/>
      </rPr>
      <t xml:space="preserve">الاستثمارات  </t>
    </r>
  </si>
  <si>
    <r>
      <rPr>
        <b/>
        <sz val="8"/>
        <rFont val="Arial"/>
        <family val="2"/>
      </rPr>
      <t xml:space="preserve">مصاريف أخرى </t>
    </r>
  </si>
  <si>
    <r>
      <rPr>
        <b/>
        <sz val="8"/>
        <rFont val="Arial"/>
        <family val="2"/>
      </rPr>
      <t xml:space="preserve">التكلفة المقدرة للمخرج </t>
    </r>
  </si>
  <si>
    <r>
      <rPr>
        <b/>
        <sz val="8"/>
        <rFont val="Arial"/>
        <family val="2"/>
      </rPr>
      <t xml:space="preserve">مصادر التمويل (حسب المخرجات) </t>
    </r>
  </si>
  <si>
    <r>
      <rPr>
        <b/>
        <i/>
        <sz val="8"/>
        <rFont val="Arial"/>
        <family val="2"/>
      </rPr>
      <t xml:space="preserve">العدد </t>
    </r>
  </si>
  <si>
    <r>
      <rPr>
        <b/>
        <i/>
        <sz val="8"/>
        <rFont val="Arial"/>
        <family val="2"/>
      </rPr>
      <t>الإجراء</t>
    </r>
  </si>
  <si>
    <r>
      <rPr>
        <b/>
        <sz val="8"/>
        <rFont val="Arial"/>
        <family val="2"/>
      </rPr>
      <t xml:space="preserve">صندوق رواتب الموظفين الإضافيين </t>
    </r>
  </si>
  <si>
    <r>
      <rPr>
        <b/>
        <sz val="8"/>
        <rFont val="Arial"/>
        <family val="2"/>
      </rPr>
      <t xml:space="preserve">مصاريف المؤتمرات / الحلقات النقاشية والدورات التدريبية   </t>
    </r>
  </si>
  <si>
    <r>
      <rPr>
        <b/>
        <sz val="8"/>
        <rFont val="Arial"/>
        <family val="2"/>
      </rPr>
      <t>خدمات استشارية مختلفة (المساعدة التقنية)</t>
    </r>
  </si>
  <si>
    <r>
      <rPr>
        <b/>
        <sz val="8"/>
        <rFont val="Arial"/>
        <family val="2"/>
      </rPr>
      <t xml:space="preserve">مصاريف المعلومات العامة (المطبوعات)   </t>
    </r>
  </si>
  <si>
    <r>
      <rPr>
        <b/>
        <sz val="8"/>
        <rFont val="Arial"/>
        <family val="2"/>
      </rPr>
      <t xml:space="preserve">الخبرة المحلية </t>
    </r>
  </si>
  <si>
    <r>
      <rPr>
        <b/>
        <sz val="8"/>
        <rFont val="Arial"/>
        <family val="2"/>
      </rPr>
      <t xml:space="preserve">الخبرة الأجنبية </t>
    </r>
  </si>
  <si>
    <r>
      <rPr>
        <b/>
        <sz val="8"/>
        <rFont val="Arial"/>
        <family val="2"/>
      </rPr>
      <t xml:space="preserve">المباني </t>
    </r>
  </si>
  <si>
    <r>
      <rPr>
        <b/>
        <sz val="8"/>
        <rFont val="Arial"/>
        <family val="2"/>
      </rPr>
      <t xml:space="preserve">تطوير البرمجيات الحاسوبية </t>
    </r>
  </si>
  <si>
    <r>
      <rPr>
        <b/>
        <sz val="8"/>
        <rFont val="Arial"/>
        <family val="2"/>
      </rPr>
      <t>الأجهزة المادية الحاسوبية</t>
    </r>
  </si>
  <si>
    <r>
      <rPr>
        <b/>
        <sz val="8"/>
        <rFont val="Arial"/>
        <family val="2"/>
      </rPr>
      <t xml:space="preserve">مستلزمات المكاتب </t>
    </r>
  </si>
  <si>
    <r>
      <rPr>
        <b/>
        <sz val="8"/>
        <rFont val="Arial"/>
        <family val="2"/>
      </rPr>
      <t>ميزانية الدولة (MTBP 2015-2017)</t>
    </r>
  </si>
  <si>
    <r>
      <rPr>
        <b/>
        <sz val="8"/>
        <rFont val="Arial"/>
        <family val="2"/>
      </rPr>
      <t>م</t>
    </r>
  </si>
  <si>
    <r>
      <rPr>
        <b/>
        <sz val="8"/>
        <rFont val="Arial"/>
        <family val="2"/>
      </rPr>
      <t xml:space="preserve">متوسط الراتب  </t>
    </r>
  </si>
  <si>
    <r>
      <rPr>
        <b/>
        <sz val="8"/>
        <rFont val="Arial"/>
        <family val="2"/>
      </rPr>
      <t>الشهر</t>
    </r>
  </si>
  <si>
    <r>
      <rPr>
        <b/>
        <sz val="8"/>
        <rFont val="Arial"/>
        <family val="2"/>
      </rPr>
      <t xml:space="preserve">القيمة الإجمالية </t>
    </r>
  </si>
  <si>
    <r>
      <rPr>
        <b/>
        <sz val="8"/>
        <rFont val="Arial"/>
        <family val="2"/>
      </rPr>
      <t>عدد الفعاليات التدريبية / الحلقات النقاشية</t>
    </r>
  </si>
  <si>
    <r>
      <rPr>
        <b/>
        <sz val="8"/>
        <rFont val="Arial"/>
        <family val="2"/>
      </rPr>
      <t>اليوم / النشاط</t>
    </r>
  </si>
  <si>
    <r>
      <rPr>
        <b/>
        <sz val="8"/>
        <rFont val="Arial"/>
        <family val="2"/>
      </rPr>
      <t>المشاركون في التدريب</t>
    </r>
  </si>
  <si>
    <r>
      <rPr>
        <b/>
        <sz val="8"/>
        <rFont val="Arial"/>
        <family val="2"/>
      </rPr>
      <t>إيجار القاعة / يوم</t>
    </r>
  </si>
  <si>
    <r>
      <rPr>
        <b/>
        <sz val="8"/>
        <rFont val="Arial"/>
        <family val="2"/>
      </rPr>
      <t>تكلفة الشخص الواحد (قهوة / مشروبات وأطعمة)</t>
    </r>
  </si>
  <si>
    <r>
      <rPr>
        <b/>
        <sz val="8"/>
        <rFont val="Arial"/>
        <family val="2"/>
      </rPr>
      <t xml:space="preserve">متوسط سعر السكن / ليلة </t>
    </r>
  </si>
  <si>
    <r>
      <rPr>
        <b/>
        <sz val="8"/>
        <rFont val="Arial"/>
        <family val="2"/>
      </rPr>
      <t xml:space="preserve">قيمة المادة التدريبية / للشخص </t>
    </r>
  </si>
  <si>
    <r>
      <rPr>
        <b/>
        <sz val="8"/>
        <rFont val="Arial"/>
        <family val="2"/>
      </rPr>
      <t>أجر المدرب / يوم</t>
    </r>
  </si>
  <si>
    <r>
      <rPr>
        <b/>
        <sz val="8"/>
        <rFont val="Arial"/>
        <family val="2"/>
      </rPr>
      <t>الإجمالي</t>
    </r>
  </si>
  <si>
    <r>
      <rPr>
        <b/>
        <sz val="8"/>
        <rFont val="Arial"/>
        <family val="2"/>
      </rPr>
      <t>اليوم / الخبير</t>
    </r>
  </si>
  <si>
    <r>
      <rPr>
        <b/>
        <sz val="8"/>
        <rFont val="Arial"/>
        <family val="2"/>
      </rPr>
      <t>الأجر</t>
    </r>
  </si>
  <si>
    <r>
      <rPr>
        <b/>
        <sz val="8"/>
        <rFont val="Arial"/>
        <family val="2"/>
      </rPr>
      <t xml:space="preserve">الإجمالي </t>
    </r>
  </si>
  <si>
    <r>
      <rPr>
        <b/>
        <sz val="8"/>
        <rFont val="Arial"/>
        <family val="2"/>
      </rPr>
      <t>اليوم / الخبير</t>
    </r>
  </si>
  <si>
    <r>
      <rPr>
        <b/>
        <sz val="8"/>
        <rFont val="Arial"/>
        <family val="2"/>
      </rPr>
      <t>الأجر</t>
    </r>
  </si>
  <si>
    <r>
      <rPr>
        <b/>
        <sz val="8"/>
        <rFont val="Arial"/>
        <family val="2"/>
      </rPr>
      <t>الإجمالي</t>
    </r>
  </si>
  <si>
    <r>
      <rPr>
        <b/>
        <sz val="8"/>
        <rFont val="Arial"/>
        <family val="2"/>
      </rPr>
      <t xml:space="preserve">قطعة / نشاط </t>
    </r>
  </si>
  <si>
    <r>
      <rPr>
        <b/>
        <sz val="8"/>
        <rFont val="Arial"/>
        <family val="2"/>
      </rPr>
      <t>قطعة / القيمة لكل وحدة</t>
    </r>
  </si>
  <si>
    <r>
      <rPr>
        <b/>
        <sz val="8"/>
        <rFont val="Arial"/>
        <family val="2"/>
      </rPr>
      <t>الإجمالي</t>
    </r>
  </si>
  <si>
    <r>
      <rPr>
        <b/>
        <sz val="8"/>
        <rFont val="Arial"/>
        <family val="2"/>
      </rPr>
      <t xml:space="preserve">قطعة </t>
    </r>
  </si>
  <si>
    <r>
      <rPr>
        <b/>
        <sz val="8"/>
        <rFont val="Arial"/>
        <family val="2"/>
      </rPr>
      <t>متوسط السعر / وحدة</t>
    </r>
  </si>
  <si>
    <r>
      <rPr>
        <b/>
        <sz val="8"/>
        <rFont val="Arial"/>
        <family val="2"/>
      </rPr>
      <t>القيمة الإجمالية</t>
    </r>
  </si>
  <si>
    <r>
      <rPr>
        <b/>
        <sz val="8"/>
        <rFont val="Arial"/>
        <family val="2"/>
      </rPr>
      <t>قطعة</t>
    </r>
  </si>
  <si>
    <r>
      <rPr>
        <b/>
        <sz val="8"/>
        <rFont val="Arial"/>
        <family val="2"/>
      </rPr>
      <t>متوسط السعر / وحدة</t>
    </r>
  </si>
  <si>
    <r>
      <rPr>
        <b/>
        <sz val="8"/>
        <rFont val="Arial"/>
        <family val="2"/>
      </rPr>
      <t>القيمة الإجمالية</t>
    </r>
  </si>
  <si>
    <r>
      <rPr>
        <b/>
        <sz val="8"/>
        <rFont val="Arial"/>
        <family val="2"/>
      </rPr>
      <t>IPA</t>
    </r>
  </si>
  <si>
    <r>
      <rPr>
        <b/>
        <sz val="8"/>
        <rFont val="Arial"/>
        <family val="2"/>
      </rPr>
      <t>WB</t>
    </r>
  </si>
  <si>
    <r>
      <rPr>
        <b/>
        <sz val="8"/>
        <rFont val="Arial"/>
        <family val="2"/>
      </rPr>
      <t>الفجوة المالية</t>
    </r>
  </si>
  <si>
    <r>
      <rPr>
        <b/>
        <i/>
        <sz val="8"/>
        <rFont val="Arial"/>
        <family val="2"/>
      </rPr>
      <t>أ</t>
    </r>
  </si>
  <si>
    <r>
      <rPr>
        <b/>
        <i/>
        <sz val="8"/>
        <rFont val="Arial"/>
        <family val="2"/>
      </rPr>
      <t>ج</t>
    </r>
  </si>
  <si>
    <r>
      <rPr>
        <b/>
        <i/>
        <sz val="8"/>
        <rFont val="Arial"/>
        <family val="2"/>
      </rPr>
      <t>د</t>
    </r>
  </si>
  <si>
    <r>
      <rPr>
        <b/>
        <i/>
        <sz val="8"/>
        <rFont val="Arial"/>
        <family val="2"/>
      </rPr>
      <t>ه</t>
    </r>
  </si>
  <si>
    <r>
      <rPr>
        <b/>
        <i/>
        <sz val="8"/>
        <rFont val="Arial"/>
        <family val="2"/>
      </rPr>
      <t>و</t>
    </r>
  </si>
  <si>
    <r>
      <rPr>
        <b/>
        <i/>
        <sz val="8"/>
        <rFont val="Arial"/>
        <family val="2"/>
      </rPr>
      <t xml:space="preserve">الهدف 5: </t>
    </r>
    <r>
      <rPr>
        <b/>
        <i/>
        <sz val="8"/>
        <rFont val="Arial"/>
        <family val="2"/>
      </rPr>
      <t>تحسين الخدمة العامة وتركيزها بالحد من أسباب الفساد وتقوية منطلق أخلاقي لتوفير الخدمة العامة.</t>
    </r>
  </si>
  <si>
    <r>
      <rPr>
        <sz val="8"/>
        <rFont val="Arial Narrow"/>
        <family val="2"/>
      </rPr>
      <t>تعديل تكوين المؤسسات التي توفر الخدمات العامة وفقًا لنموذج المركز الشامل:</t>
    </r>
  </si>
  <si>
    <r>
      <rPr>
        <sz val="8"/>
        <color indexed="10"/>
        <rFont val="Arial"/>
        <family val="2"/>
      </rPr>
      <t xml:space="preserve"> </t>
    </r>
  </si>
  <si>
    <r>
      <rPr>
        <b/>
        <i/>
        <sz val="8"/>
        <rFont val="Arial"/>
        <family val="2"/>
      </rPr>
      <t xml:space="preserve">الهدف 8: </t>
    </r>
    <r>
      <rPr>
        <b/>
        <i/>
        <sz val="8"/>
        <rFont val="Arial"/>
        <family val="2"/>
      </rPr>
      <t>تبسيط إجراء توفير الخدمات بتسهيل الاتصال مع الجمهور وتجنب الفساد.</t>
    </r>
  </si>
  <si>
    <r>
      <rPr>
        <sz val="8"/>
        <rFont val="Arial Narrow"/>
        <family val="2"/>
      </rPr>
      <t>8.1.1</t>
    </r>
  </si>
  <si>
    <r>
      <rPr>
        <sz val="8"/>
        <rFont val="Arial Narrow"/>
        <family val="2"/>
      </rPr>
      <t>8.1.2</t>
    </r>
  </si>
  <si>
    <r>
      <rPr>
        <sz val="8"/>
        <rFont val="Arial Narrow"/>
        <family val="2"/>
      </rPr>
      <t>إعادة تنظيم الخدمات التي سيتم توفيرها في المراكز الشاملة بتنظيم العلاقات بين المركز الشامل والمكتب الخلفي.</t>
    </r>
  </si>
  <si>
    <r>
      <rPr>
        <sz val="8"/>
        <rFont val="Arial Narrow"/>
        <family val="2"/>
      </rPr>
      <t>8.2.1</t>
    </r>
  </si>
  <si>
    <r>
      <rPr>
        <sz val="8"/>
        <rFont val="Arial Narrow"/>
        <family val="2"/>
      </rPr>
      <t>إزالة عبء تقديم الخدمات مباشرة من على عاتق مؤسسات الإدارة العامة.</t>
    </r>
  </si>
  <si>
    <r>
      <rPr>
        <sz val="8"/>
        <rFont val="Arial Narrow"/>
        <family val="2"/>
      </rPr>
      <t>8.3.1</t>
    </r>
  </si>
  <si>
    <r>
      <rPr>
        <sz val="8"/>
        <rFont val="Arial Narrow"/>
        <family val="2"/>
      </rPr>
      <t>1.3.1</t>
    </r>
  </si>
  <si>
    <r>
      <rPr>
        <sz val="8"/>
        <rFont val="Arial Narrow"/>
        <family val="2"/>
      </rPr>
      <t>1.3.2</t>
    </r>
  </si>
  <si>
    <r>
      <rPr>
        <sz val="8"/>
        <rFont val="Arial Narrow"/>
        <family val="2"/>
      </rPr>
      <t>ضمان القيمة القانونية للوثائق الإلكترونية المطبوعة.</t>
    </r>
  </si>
  <si>
    <r>
      <rPr>
        <sz val="8"/>
        <rFont val="Arial Narrow"/>
        <family val="2"/>
      </rPr>
      <t>1.3.3</t>
    </r>
  </si>
  <si>
    <r>
      <rPr>
        <sz val="8"/>
        <rFont val="Arial Narrow"/>
        <family val="2"/>
      </rPr>
      <t>بدون تكلفة إضافية</t>
    </r>
  </si>
  <si>
    <r>
      <rPr>
        <sz val="8"/>
        <rFont val="Arial Narrow"/>
        <family val="2"/>
      </rPr>
      <t>بدون تكلفة إضافية</t>
    </r>
  </si>
  <si>
    <r>
      <rPr>
        <sz val="8"/>
        <rFont val="Arial Narrow"/>
        <family val="2"/>
      </rPr>
      <t>1.4.1</t>
    </r>
  </si>
  <si>
    <r>
      <rPr>
        <b/>
        <i/>
        <sz val="8"/>
        <rFont val="Arial"/>
        <family val="2"/>
      </rPr>
      <t xml:space="preserve">الهدف 9: </t>
    </r>
    <r>
      <rPr>
        <b/>
        <i/>
        <sz val="8"/>
        <rFont val="Arial"/>
        <family val="2"/>
      </rPr>
      <t>تطوير بنية تحتية لتكنولوجيا المعلومات والاتصالات تستطيع دعم الأنشطة اليومية للإدارة العامة وتزيد كفاءتها عن طريق خفض الوقت اللازم للوصول إلى المعلومات ومعالجتها ونقلها مع تحسين تدفقها في الوقت نفسه.</t>
    </r>
  </si>
  <si>
    <r>
      <rPr>
        <sz val="8"/>
        <rFont val="Arial Narrow"/>
        <family val="2"/>
      </rPr>
      <t>1.2.1</t>
    </r>
  </si>
  <si>
    <r>
      <rPr>
        <sz val="8"/>
        <rFont val="Arial Narrow"/>
        <family val="2"/>
      </rPr>
      <t>1.2.2</t>
    </r>
  </si>
  <si>
    <r>
      <rPr>
        <sz val="8"/>
        <rFont val="Arial Narrow"/>
        <family val="2"/>
      </rPr>
      <t>1.2.3</t>
    </r>
  </si>
  <si>
    <r>
      <rPr>
        <sz val="8"/>
        <rFont val="Arial Narrow"/>
        <family val="2"/>
      </rPr>
      <t>1.4.3</t>
    </r>
  </si>
  <si>
    <r>
      <rPr>
        <sz val="8"/>
        <rFont val="Arial Narrow"/>
        <family val="2"/>
      </rPr>
      <t>300 شخص</t>
    </r>
  </si>
  <si>
    <r>
      <rPr>
        <sz val="8"/>
        <rFont val="Arial"/>
        <family val="2"/>
      </rPr>
      <t xml:space="preserve"> </t>
    </r>
  </si>
  <si>
    <r>
      <rPr>
        <b/>
        <i/>
        <sz val="8"/>
        <rFont val="Arial Narrow"/>
        <family val="2"/>
      </rPr>
      <t xml:space="preserve">الاستثمارات </t>
    </r>
  </si>
  <si>
    <r>
      <rPr>
        <b/>
        <i/>
        <sz val="8"/>
        <rFont val="Arial Narrow"/>
        <family val="2"/>
      </rPr>
      <t xml:space="preserve">مصاريف أخرى </t>
    </r>
  </si>
  <si>
    <r>
      <rPr>
        <b/>
        <i/>
        <sz val="8"/>
        <rFont val="Arial Narrow"/>
        <family val="2"/>
      </rPr>
      <t xml:space="preserve">التكلفة المقدرة للمخرج </t>
    </r>
  </si>
  <si>
    <r>
      <rPr>
        <b/>
        <i/>
        <sz val="8"/>
        <rFont val="Arial Narrow"/>
        <family val="2"/>
      </rPr>
      <t>مصادر التمويل (حسب المخرجات)</t>
    </r>
  </si>
  <si>
    <r>
      <rPr>
        <b/>
        <i/>
        <sz val="8"/>
        <rFont val="Arial Narrow"/>
        <family val="2"/>
      </rPr>
      <t xml:space="preserve">العدد </t>
    </r>
  </si>
  <si>
    <r>
      <rPr>
        <b/>
        <i/>
        <sz val="8"/>
        <rFont val="Arial Narrow"/>
        <family val="2"/>
      </rPr>
      <t>الإجراء</t>
    </r>
  </si>
  <si>
    <r>
      <rPr>
        <b/>
        <i/>
        <sz val="8"/>
        <rFont val="Arial Narrow"/>
        <family val="2"/>
      </rPr>
      <t>مؤشرات المخرج</t>
    </r>
  </si>
  <si>
    <r>
      <rPr>
        <b/>
        <i/>
        <sz val="8"/>
        <rFont val="Arial Narrow"/>
        <family val="2"/>
      </rPr>
      <t xml:space="preserve">صندوق رواتب الموظفين الإضافيين </t>
    </r>
  </si>
  <si>
    <r>
      <rPr>
        <b/>
        <i/>
        <sz val="8"/>
        <rFont val="Arial Narrow"/>
        <family val="2"/>
      </rPr>
      <t xml:space="preserve">مصاريف المؤتمرات / الحلقات النقاشية والدورات التدريبية   </t>
    </r>
  </si>
  <si>
    <r>
      <rPr>
        <b/>
        <i/>
        <sz val="8"/>
        <rFont val="Arial Narrow"/>
        <family val="2"/>
      </rPr>
      <t>خدمات استشارية مختلفة (المساعدة التقنية)</t>
    </r>
  </si>
  <si>
    <r>
      <rPr>
        <b/>
        <i/>
        <sz val="8"/>
        <rFont val="Arial Narrow"/>
        <family val="2"/>
      </rPr>
      <t xml:space="preserve">مصاريف المعلومات العامة (المطبوعات)  </t>
    </r>
  </si>
  <si>
    <r>
      <rPr>
        <b/>
        <i/>
        <sz val="8"/>
        <rFont val="Arial Narrow"/>
        <family val="2"/>
      </rPr>
      <t>النشاط مع / بدون تكلفة إضافية</t>
    </r>
  </si>
  <si>
    <r>
      <rPr>
        <b/>
        <i/>
        <sz val="8"/>
        <rFont val="Arial Narrow"/>
        <family val="2"/>
      </rPr>
      <t xml:space="preserve">الخبرة المحلية </t>
    </r>
  </si>
  <si>
    <r>
      <rPr>
        <b/>
        <i/>
        <sz val="8"/>
        <rFont val="Arial Narrow"/>
        <family val="2"/>
      </rPr>
      <t xml:space="preserve">الخبرة الأجنبية </t>
    </r>
  </si>
  <si>
    <r>
      <rPr>
        <b/>
        <i/>
        <sz val="8"/>
        <rFont val="Arial Narrow"/>
        <family val="2"/>
      </rPr>
      <t>المباني</t>
    </r>
  </si>
  <si>
    <r>
      <rPr>
        <b/>
        <i/>
        <sz val="8"/>
        <rFont val="Arial Narrow"/>
        <family val="2"/>
      </rPr>
      <t xml:space="preserve">تطوير البرمجيات الحاسوبية </t>
    </r>
  </si>
  <si>
    <r>
      <rPr>
        <b/>
        <i/>
        <sz val="8"/>
        <rFont val="Arial Narrow"/>
        <family val="2"/>
      </rPr>
      <t>الأجهزة المادية الحاسوبية</t>
    </r>
  </si>
  <si>
    <r>
      <rPr>
        <b/>
        <i/>
        <sz val="8"/>
        <rFont val="Arial Narrow"/>
        <family val="2"/>
      </rPr>
      <t xml:space="preserve">مستلزمات المكاتب </t>
    </r>
  </si>
  <si>
    <r>
      <rPr>
        <b/>
        <i/>
        <sz val="8"/>
        <rFont val="Arial Narrow"/>
        <family val="2"/>
      </rPr>
      <t>العدد</t>
    </r>
  </si>
  <si>
    <r>
      <rPr>
        <b/>
        <i/>
        <sz val="8"/>
        <rFont val="Arial Narrow"/>
        <family val="2"/>
      </rPr>
      <t xml:space="preserve">متوسط الراتب  </t>
    </r>
  </si>
  <si>
    <r>
      <rPr>
        <b/>
        <i/>
        <sz val="8"/>
        <rFont val="Arial Narrow"/>
        <family val="2"/>
      </rPr>
      <t>الشهر</t>
    </r>
  </si>
  <si>
    <r>
      <rPr>
        <b/>
        <i/>
        <sz val="8"/>
        <rFont val="Arial Narrow"/>
        <family val="2"/>
      </rPr>
      <t xml:space="preserve">القيمة الإجمالية </t>
    </r>
  </si>
  <si>
    <r>
      <rPr>
        <b/>
        <i/>
        <sz val="8"/>
        <rFont val="Arial Narrow"/>
        <family val="2"/>
      </rPr>
      <t>عدد الفعاليات التدريبية / الحلقات النقاشية</t>
    </r>
  </si>
  <si>
    <r>
      <rPr>
        <b/>
        <i/>
        <sz val="8"/>
        <rFont val="Arial Narrow"/>
        <family val="2"/>
      </rPr>
      <t>اليوم / النشاط</t>
    </r>
  </si>
  <si>
    <r>
      <rPr>
        <b/>
        <i/>
        <sz val="8"/>
        <rFont val="Arial Narrow"/>
        <family val="2"/>
      </rPr>
      <t>المشاركون في التدريب</t>
    </r>
  </si>
  <si>
    <r>
      <rPr>
        <b/>
        <i/>
        <sz val="8"/>
        <rFont val="Arial Narrow"/>
        <family val="2"/>
      </rPr>
      <t>إيجار القاعة / يوم</t>
    </r>
  </si>
  <si>
    <r>
      <rPr>
        <b/>
        <i/>
        <sz val="8"/>
        <rFont val="Arial Narrow"/>
        <family val="2"/>
      </rPr>
      <t>تكلفة الشخص الواحد (قهوة / مشروبات وأطعمة)</t>
    </r>
  </si>
  <si>
    <r>
      <rPr>
        <b/>
        <i/>
        <sz val="8"/>
        <rFont val="Arial Narrow"/>
        <family val="2"/>
      </rPr>
      <t xml:space="preserve">متوسط سعر السكن / ليلة </t>
    </r>
  </si>
  <si>
    <r>
      <rPr>
        <b/>
        <i/>
        <sz val="8"/>
        <rFont val="Arial Narrow"/>
        <family val="2"/>
      </rPr>
      <t xml:space="preserve">قيمة المادة التدريبية / للشخص </t>
    </r>
  </si>
  <si>
    <r>
      <rPr>
        <b/>
        <i/>
        <sz val="8"/>
        <rFont val="Arial Narrow"/>
        <family val="2"/>
      </rPr>
      <t>القيمة الإجمالية</t>
    </r>
  </si>
  <si>
    <r>
      <rPr>
        <b/>
        <i/>
        <sz val="8"/>
        <rFont val="Arial Narrow"/>
        <family val="2"/>
      </rPr>
      <t>اليوم / الخبير</t>
    </r>
  </si>
  <si>
    <r>
      <rPr>
        <b/>
        <i/>
        <sz val="8"/>
        <rFont val="Arial Narrow"/>
        <family val="2"/>
      </rPr>
      <t>الأجر</t>
    </r>
  </si>
  <si>
    <r>
      <rPr>
        <b/>
        <i/>
        <sz val="8"/>
        <rFont val="Arial Narrow"/>
        <family val="2"/>
      </rPr>
      <t xml:space="preserve">الإجمالي </t>
    </r>
  </si>
  <si>
    <r>
      <rPr>
        <b/>
        <i/>
        <sz val="8"/>
        <rFont val="Arial Narrow"/>
        <family val="2"/>
      </rPr>
      <t>اليوم / الخبير</t>
    </r>
  </si>
  <si>
    <r>
      <rPr>
        <b/>
        <i/>
        <sz val="8"/>
        <rFont val="Arial Narrow"/>
        <family val="2"/>
      </rPr>
      <t>الأجر</t>
    </r>
  </si>
  <si>
    <r>
      <rPr>
        <b/>
        <i/>
        <sz val="8"/>
        <rFont val="Arial Narrow"/>
        <family val="2"/>
      </rPr>
      <t>الإجمالي</t>
    </r>
  </si>
  <si>
    <r>
      <rPr>
        <b/>
        <i/>
        <sz val="8"/>
        <rFont val="Arial Narrow"/>
        <family val="2"/>
      </rPr>
      <t xml:space="preserve">قطعة / نشاط </t>
    </r>
  </si>
  <si>
    <r>
      <rPr>
        <b/>
        <i/>
        <sz val="8"/>
        <rFont val="Arial Narrow"/>
        <family val="2"/>
      </rPr>
      <t>قطعة / القيمة لكل وحدة</t>
    </r>
  </si>
  <si>
    <r>
      <rPr>
        <b/>
        <i/>
        <sz val="8"/>
        <rFont val="Arial Narrow"/>
        <family val="2"/>
      </rPr>
      <t>الإجمالي</t>
    </r>
  </si>
  <si>
    <r>
      <rPr>
        <b/>
        <i/>
        <sz val="8"/>
        <rFont val="Arial Narrow"/>
        <family val="2"/>
      </rPr>
      <t xml:space="preserve">قطعة </t>
    </r>
  </si>
  <si>
    <r>
      <rPr>
        <b/>
        <i/>
        <sz val="8"/>
        <rFont val="Arial Narrow"/>
        <family val="2"/>
      </rPr>
      <t>متوسط السعر / وحدة</t>
    </r>
  </si>
  <si>
    <r>
      <rPr>
        <b/>
        <i/>
        <sz val="8"/>
        <rFont val="Arial Narrow"/>
        <family val="2"/>
      </rPr>
      <t>القيمة الإجمالية</t>
    </r>
  </si>
  <si>
    <r>
      <rPr>
        <b/>
        <i/>
        <sz val="8"/>
        <rFont val="Arial Narrow"/>
        <family val="2"/>
      </rPr>
      <t>قطعة</t>
    </r>
  </si>
  <si>
    <r>
      <rPr>
        <b/>
        <i/>
        <sz val="8"/>
        <rFont val="Arial Narrow"/>
        <family val="2"/>
      </rPr>
      <t>متوسط السعر / وحدة</t>
    </r>
  </si>
  <si>
    <r>
      <rPr>
        <b/>
        <i/>
        <sz val="8"/>
        <rFont val="Arial Narrow"/>
        <family val="2"/>
      </rPr>
      <t>القيمة الإجمالية</t>
    </r>
  </si>
  <si>
    <r>
      <rPr>
        <b/>
        <i/>
        <sz val="8"/>
        <rFont val="Arial Narrow"/>
        <family val="2"/>
      </rPr>
      <t>ميزانية الدولة (MTBP 2015-2017)</t>
    </r>
  </si>
  <si>
    <r>
      <rPr>
        <b/>
        <i/>
        <sz val="8"/>
        <rFont val="Arial Narrow"/>
        <family val="2"/>
      </rPr>
      <t>IPA</t>
    </r>
  </si>
  <si>
    <r>
      <rPr>
        <b/>
        <i/>
        <sz val="8"/>
        <rFont val="Arial Narrow"/>
        <family val="2"/>
      </rPr>
      <t>WB</t>
    </r>
  </si>
  <si>
    <r>
      <rPr>
        <b/>
        <i/>
        <sz val="8"/>
        <rFont val="Arial Narrow"/>
        <family val="2"/>
      </rPr>
      <t>برنامج الأمم المتحدة للتنمية</t>
    </r>
  </si>
  <si>
    <r>
      <rPr>
        <b/>
        <i/>
        <sz val="8"/>
        <rFont val="Arial Narrow"/>
        <family val="2"/>
      </rPr>
      <t>الفجوة المالية</t>
    </r>
  </si>
  <si>
    <r>
      <rPr>
        <b/>
        <i/>
        <sz val="8"/>
        <rFont val="Arial Narrow"/>
        <family val="2"/>
      </rPr>
      <t>أ</t>
    </r>
  </si>
  <si>
    <r>
      <rPr>
        <b/>
        <i/>
        <sz val="8"/>
        <rFont val="Arial Narrow"/>
        <family val="2"/>
      </rPr>
      <t>ج</t>
    </r>
  </si>
  <si>
    <r>
      <rPr>
        <b/>
        <i/>
        <sz val="8"/>
        <rFont val="Arial Narrow"/>
        <family val="2"/>
      </rPr>
      <t>د</t>
    </r>
  </si>
  <si>
    <r>
      <rPr>
        <b/>
        <i/>
        <sz val="8"/>
        <rFont val="Arial Narrow"/>
        <family val="2"/>
      </rPr>
      <t>ه</t>
    </r>
  </si>
  <si>
    <r>
      <rPr>
        <b/>
        <i/>
        <sz val="8"/>
        <rFont val="Arial Narrow"/>
        <family val="2"/>
      </rPr>
      <t>و</t>
    </r>
  </si>
  <si>
    <r>
      <rPr>
        <sz val="8"/>
        <rFont val="Arial Narrow"/>
        <family val="2"/>
      </rPr>
      <t>الدعم المنهجي لتنظيم وتشغيل الوحدات الإدارية الجديدة للدولة وبناء القدرات الخاصة بالتنفيذ.</t>
    </r>
  </si>
  <si>
    <r>
      <rPr>
        <sz val="8"/>
        <rFont val="Arial Narrow"/>
        <family val="2"/>
      </rPr>
      <t>4.3.1</t>
    </r>
  </si>
  <si>
    <r>
      <rPr>
        <sz val="8"/>
        <rFont val="Arial Narrow"/>
        <family val="2"/>
      </rPr>
      <t xml:space="preserve"> </t>
    </r>
  </si>
  <si>
    <r>
      <rPr>
        <sz val="8"/>
        <rFont val="Arial Narrow"/>
        <family val="2"/>
      </rPr>
      <t>4.3.2</t>
    </r>
  </si>
  <si>
    <r>
      <rPr>
        <sz val="8"/>
        <rFont val="Arial Narrow"/>
        <family val="2"/>
      </rPr>
      <t>4.3.3</t>
    </r>
  </si>
  <si>
    <r>
      <rPr>
        <sz val="8"/>
        <rFont val="Arial Narrow"/>
        <family val="2"/>
      </rPr>
      <t>4.3.4</t>
    </r>
  </si>
  <si>
    <r>
      <rPr>
        <b/>
        <i/>
        <sz val="8"/>
        <rFont val="Arial Narrow"/>
        <family val="2"/>
      </rPr>
      <t xml:space="preserve">الاستثمارات </t>
    </r>
  </si>
  <si>
    <r>
      <rPr>
        <b/>
        <i/>
        <sz val="8"/>
        <rFont val="Arial Narrow"/>
        <family val="2"/>
      </rPr>
      <t xml:space="preserve">مصاريف أخرى </t>
    </r>
  </si>
  <si>
    <r>
      <rPr>
        <b/>
        <i/>
        <sz val="8"/>
        <rFont val="Arial Narrow"/>
        <family val="2"/>
      </rPr>
      <t xml:space="preserve">التكلفة المقدرة للمخرج </t>
    </r>
  </si>
  <si>
    <r>
      <rPr>
        <b/>
        <i/>
        <sz val="8"/>
        <rFont val="Arial Narrow"/>
        <family val="2"/>
      </rPr>
      <t>مصادر التمويل (حسب المخرجات)</t>
    </r>
  </si>
  <si>
    <r>
      <rPr>
        <b/>
        <i/>
        <sz val="8"/>
        <rFont val="Arial Narrow"/>
        <family val="2"/>
      </rPr>
      <t xml:space="preserve">العدد </t>
    </r>
  </si>
  <si>
    <r>
      <rPr>
        <b/>
        <i/>
        <sz val="8"/>
        <rFont val="Arial Narrow"/>
        <family val="2"/>
      </rPr>
      <t>الإجراء</t>
    </r>
  </si>
  <si>
    <r>
      <rPr>
        <b/>
        <i/>
        <sz val="8"/>
        <rFont val="Arial Narrow"/>
        <family val="2"/>
      </rPr>
      <t>مؤشرات المخرج</t>
    </r>
  </si>
  <si>
    <r>
      <rPr>
        <b/>
        <i/>
        <sz val="8"/>
        <rFont val="Arial Narrow"/>
        <family val="2"/>
      </rPr>
      <t xml:space="preserve">صندوق رواتب الموظفين الإضافيين </t>
    </r>
  </si>
  <si>
    <r>
      <rPr>
        <sz val="8"/>
        <rFont val="Arial Narrow"/>
        <family val="2"/>
      </rPr>
      <t xml:space="preserve"> </t>
    </r>
  </si>
  <si>
    <r>
      <rPr>
        <b/>
        <i/>
        <sz val="8"/>
        <rFont val="Arial Narrow"/>
        <family val="2"/>
      </rPr>
      <t>خدمات استشارية مختلفة (المساعدة التقنية)</t>
    </r>
  </si>
  <si>
    <r>
      <rPr>
        <b/>
        <i/>
        <sz val="8"/>
        <rFont val="Arial Narrow"/>
        <family val="2"/>
      </rPr>
      <t xml:space="preserve">مصاريف المعلومات العامة (المطبوعات)  </t>
    </r>
  </si>
  <si>
    <r>
      <rPr>
        <b/>
        <i/>
        <sz val="8"/>
        <rFont val="Arial Narrow"/>
        <family val="2"/>
      </rPr>
      <t>النشاط مع / بدون تكلفة إضافية</t>
    </r>
  </si>
  <si>
    <r>
      <rPr>
        <b/>
        <i/>
        <sz val="8"/>
        <rFont val="Arial Narrow"/>
        <family val="2"/>
      </rPr>
      <t xml:space="preserve">الخبرة المحلية </t>
    </r>
  </si>
  <si>
    <r>
      <rPr>
        <b/>
        <i/>
        <sz val="8"/>
        <rFont val="Arial Narrow"/>
        <family val="2"/>
      </rPr>
      <t xml:space="preserve">الخبرة الأجنبية </t>
    </r>
  </si>
  <si>
    <r>
      <rPr>
        <b/>
        <i/>
        <sz val="8"/>
        <rFont val="Arial Narrow"/>
        <family val="2"/>
      </rPr>
      <t>المباني</t>
    </r>
  </si>
  <si>
    <r>
      <rPr>
        <b/>
        <i/>
        <sz val="8"/>
        <rFont val="Arial Narrow"/>
        <family val="2"/>
      </rPr>
      <t xml:space="preserve">تطوير البرمجيات الحاسوبية </t>
    </r>
  </si>
  <si>
    <r>
      <rPr>
        <b/>
        <i/>
        <sz val="8"/>
        <rFont val="Arial Narrow"/>
        <family val="2"/>
      </rPr>
      <t>الأجهزة المادية الحاسوبية</t>
    </r>
  </si>
  <si>
    <r>
      <rPr>
        <b/>
        <i/>
        <sz val="8"/>
        <rFont val="Arial Narrow"/>
        <family val="2"/>
      </rPr>
      <t xml:space="preserve">مستلزمات المكاتب </t>
    </r>
  </si>
  <si>
    <r>
      <rPr>
        <b/>
        <i/>
        <sz val="8"/>
        <rFont val="Arial Narrow"/>
        <family val="2"/>
      </rPr>
      <t>العدد</t>
    </r>
  </si>
  <si>
    <r>
      <rPr>
        <b/>
        <i/>
        <sz val="8"/>
        <rFont val="Arial Narrow"/>
        <family val="2"/>
      </rPr>
      <t xml:space="preserve">متوسط الراتب  </t>
    </r>
  </si>
  <si>
    <r>
      <rPr>
        <b/>
        <i/>
        <sz val="8"/>
        <rFont val="Arial Narrow"/>
        <family val="2"/>
      </rPr>
      <t>الشهر</t>
    </r>
  </si>
  <si>
    <r>
      <rPr>
        <b/>
        <i/>
        <sz val="8"/>
        <rFont val="Arial Narrow"/>
        <family val="2"/>
      </rPr>
      <t xml:space="preserve">القيمة الإجمالية </t>
    </r>
  </si>
  <si>
    <r>
      <rPr>
        <b/>
        <i/>
        <sz val="8"/>
        <rFont val="Arial Narrow"/>
        <family val="2"/>
      </rPr>
      <t>عدد الفعاليات التدريبية / الحلقات النقاشية</t>
    </r>
  </si>
  <si>
    <r>
      <rPr>
        <b/>
        <i/>
        <sz val="8"/>
        <rFont val="Arial Narrow"/>
        <family val="2"/>
      </rPr>
      <t>اليوم / النشاط</t>
    </r>
  </si>
  <si>
    <r>
      <rPr>
        <b/>
        <i/>
        <sz val="8"/>
        <rFont val="Arial Narrow"/>
        <family val="2"/>
      </rPr>
      <t>المشاركون في التدريب</t>
    </r>
  </si>
  <si>
    <r>
      <rPr>
        <b/>
        <i/>
        <sz val="8"/>
        <rFont val="Arial Narrow"/>
        <family val="2"/>
      </rPr>
      <t>إيجار القاعة / يوم</t>
    </r>
  </si>
  <si>
    <r>
      <rPr>
        <b/>
        <i/>
        <sz val="8"/>
        <rFont val="Arial Narrow"/>
        <family val="2"/>
      </rPr>
      <t>تكلفة الشخص الواحد (قهوة / مشروبات وأطعمة)</t>
    </r>
  </si>
  <si>
    <r>
      <rPr>
        <b/>
        <i/>
        <sz val="8"/>
        <rFont val="Arial Narrow"/>
        <family val="2"/>
      </rPr>
      <t xml:space="preserve">متوسط سعر السكن / ليلة </t>
    </r>
  </si>
  <si>
    <r>
      <rPr>
        <b/>
        <i/>
        <sz val="8"/>
        <rFont val="Arial Narrow"/>
        <family val="2"/>
      </rPr>
      <t xml:space="preserve">قيمة المادة التدريبية / للشخص </t>
    </r>
  </si>
  <si>
    <r>
      <rPr>
        <b/>
        <i/>
        <sz val="8"/>
        <rFont val="Arial Narrow"/>
        <family val="2"/>
      </rPr>
      <t>القيمة الإجمالية</t>
    </r>
  </si>
  <si>
    <r>
      <rPr>
        <b/>
        <i/>
        <sz val="8"/>
        <rFont val="Arial Narrow"/>
        <family val="2"/>
      </rPr>
      <t>اليوم / الخبير</t>
    </r>
  </si>
  <si>
    <r>
      <rPr>
        <b/>
        <i/>
        <sz val="8"/>
        <rFont val="Arial Narrow"/>
        <family val="2"/>
      </rPr>
      <t>الأجر</t>
    </r>
  </si>
  <si>
    <r>
      <rPr>
        <b/>
        <i/>
        <sz val="8"/>
        <rFont val="Arial Narrow"/>
        <family val="2"/>
      </rPr>
      <t xml:space="preserve">الإجمالي </t>
    </r>
  </si>
  <si>
    <r>
      <rPr>
        <b/>
        <i/>
        <sz val="8"/>
        <rFont val="Arial Narrow"/>
        <family val="2"/>
      </rPr>
      <t>اليوم / الخبير</t>
    </r>
  </si>
  <si>
    <r>
      <rPr>
        <b/>
        <i/>
        <sz val="8"/>
        <rFont val="Arial Narrow"/>
        <family val="2"/>
      </rPr>
      <t>الأجر</t>
    </r>
  </si>
  <si>
    <r>
      <rPr>
        <b/>
        <i/>
        <sz val="8"/>
        <rFont val="Arial Narrow"/>
        <family val="2"/>
      </rPr>
      <t>الإجمالي</t>
    </r>
  </si>
  <si>
    <r>
      <rPr>
        <b/>
        <i/>
        <sz val="8"/>
        <rFont val="Arial Narrow"/>
        <family val="2"/>
      </rPr>
      <t xml:space="preserve">قطعة / نشاط </t>
    </r>
  </si>
  <si>
    <r>
      <rPr>
        <b/>
        <i/>
        <sz val="8"/>
        <rFont val="Arial Narrow"/>
        <family val="2"/>
      </rPr>
      <t>قطعة / القيمة لكل وحدة</t>
    </r>
  </si>
  <si>
    <r>
      <rPr>
        <b/>
        <i/>
        <sz val="8"/>
        <rFont val="Arial Narrow"/>
        <family val="2"/>
      </rPr>
      <t>الإجمالي</t>
    </r>
  </si>
  <si>
    <r>
      <rPr>
        <b/>
        <i/>
        <sz val="8"/>
        <rFont val="Arial Narrow"/>
        <family val="2"/>
      </rPr>
      <t xml:space="preserve">قطعة </t>
    </r>
  </si>
  <si>
    <r>
      <rPr>
        <b/>
        <i/>
        <sz val="8"/>
        <rFont val="Arial Narrow"/>
        <family val="2"/>
      </rPr>
      <t>متوسط السعر / وحدة</t>
    </r>
  </si>
  <si>
    <r>
      <rPr>
        <b/>
        <i/>
        <sz val="8"/>
        <rFont val="Arial Narrow"/>
        <family val="2"/>
      </rPr>
      <t>القيمة الإجمالية</t>
    </r>
  </si>
  <si>
    <r>
      <rPr>
        <b/>
        <i/>
        <sz val="8"/>
        <rFont val="Arial Narrow"/>
        <family val="2"/>
      </rPr>
      <t>قطعة</t>
    </r>
  </si>
  <si>
    <r>
      <rPr>
        <b/>
        <i/>
        <sz val="8"/>
        <rFont val="Arial Narrow"/>
        <family val="2"/>
      </rPr>
      <t>متوسط السعر / وحدة</t>
    </r>
  </si>
  <si>
    <r>
      <rPr>
        <b/>
        <i/>
        <sz val="8"/>
        <rFont val="Arial Narrow"/>
        <family val="2"/>
      </rPr>
      <t>القيمة الإجمالية</t>
    </r>
  </si>
  <si>
    <r>
      <rPr>
        <b/>
        <i/>
        <sz val="8"/>
        <rFont val="Arial Narrow"/>
        <family val="2"/>
      </rPr>
      <t>ميزانية الدولة (MTBP 2015-2017)</t>
    </r>
  </si>
  <si>
    <r>
      <rPr>
        <b/>
        <i/>
        <sz val="8"/>
        <rFont val="Arial Narrow"/>
        <family val="2"/>
      </rPr>
      <t>IPA</t>
    </r>
  </si>
  <si>
    <r>
      <rPr>
        <b/>
        <i/>
        <sz val="8"/>
        <rFont val="Arial Narrow"/>
        <family val="2"/>
      </rPr>
      <t>WB</t>
    </r>
  </si>
  <si>
    <r>
      <rPr>
        <b/>
        <i/>
        <sz val="8"/>
        <rFont val="Arial Narrow"/>
        <family val="2"/>
      </rPr>
      <t>برنامج الأمم المتحدة للتنمية</t>
    </r>
  </si>
  <si>
    <r>
      <rPr>
        <b/>
        <i/>
        <sz val="8"/>
        <rFont val="Arial Narrow"/>
        <family val="2"/>
      </rPr>
      <t>الفجوة المالية</t>
    </r>
  </si>
  <si>
    <r>
      <rPr>
        <b/>
        <i/>
        <sz val="8"/>
        <rFont val="Arial Narrow"/>
        <family val="2"/>
      </rPr>
      <t>أ</t>
    </r>
  </si>
  <si>
    <r>
      <rPr>
        <b/>
        <i/>
        <sz val="8"/>
        <rFont val="Arial Narrow"/>
        <family val="2"/>
      </rPr>
      <t>ج</t>
    </r>
  </si>
  <si>
    <r>
      <rPr>
        <b/>
        <i/>
        <sz val="8"/>
        <rFont val="Arial Narrow"/>
        <family val="2"/>
      </rPr>
      <t>د</t>
    </r>
  </si>
  <si>
    <r>
      <rPr>
        <sz val="8"/>
        <rFont val="Arial Narrow"/>
        <family val="2"/>
      </rPr>
      <t>ه</t>
    </r>
  </si>
  <si>
    <r>
      <rPr>
        <b/>
        <i/>
        <sz val="8"/>
        <rFont val="Arial Narrow"/>
        <family val="2"/>
      </rPr>
      <t>و</t>
    </r>
  </si>
  <si>
    <r>
      <rPr>
        <sz val="8"/>
        <rFont val="Arial Narrow"/>
        <family val="2"/>
      </rPr>
      <t xml:space="preserve">الاستخدام النظامي لتقييم فرص فساد التشريعات (عزل الفساد). </t>
    </r>
  </si>
  <si>
    <r>
      <rPr>
        <sz val="8"/>
        <rFont val="Arial Narrow"/>
        <family val="2"/>
      </rPr>
      <t>2.3.1</t>
    </r>
  </si>
  <si>
    <r>
      <rPr>
        <sz val="8"/>
        <rFont val="Arial Narrow"/>
        <family val="2"/>
      </rPr>
      <t>2.3.2</t>
    </r>
  </si>
  <si>
    <r>
      <rPr>
        <b/>
        <i/>
        <sz val="8"/>
        <rFont val="Arial Narrow"/>
        <family val="2"/>
      </rPr>
      <t>6.5.1</t>
    </r>
  </si>
  <si>
    <r>
      <rPr>
        <sz val="8"/>
        <rFont val="Arial Narrow"/>
        <family val="2"/>
      </rPr>
      <t>6.5.1.1</t>
    </r>
  </si>
  <si>
    <r>
      <rPr>
        <sz val="8"/>
        <rFont val="Arial Narrow"/>
        <family val="2"/>
      </rPr>
      <t>6.5.1.2</t>
    </r>
  </si>
  <si>
    <r>
      <rPr>
        <b/>
        <i/>
        <sz val="8"/>
        <rFont val="Arial Narrow"/>
        <family val="2"/>
      </rPr>
      <t xml:space="preserve">لا تكلفة  </t>
    </r>
  </si>
  <si>
    <r>
      <rPr>
        <b/>
        <sz val="8"/>
        <color indexed="8"/>
        <rFont val="Arial Narrow"/>
        <family val="2"/>
      </rPr>
      <t xml:space="preserve">الهدف 10: </t>
    </r>
    <r>
      <rPr>
        <b/>
        <sz val="8"/>
        <color indexed="8"/>
        <rFont val="Arial Narrow"/>
        <family val="2"/>
      </rPr>
      <t>تعزيز كفاءة ومساءلة الموظفين الحكوميين.</t>
    </r>
  </si>
  <si>
    <r>
      <rPr>
        <sz val="8"/>
        <rFont val="Arial Narrow"/>
        <family val="2"/>
      </rPr>
      <t>10.1.1</t>
    </r>
  </si>
  <si>
    <r>
      <rPr>
        <sz val="8"/>
        <rFont val="Arial Narrow"/>
        <family val="2"/>
      </rPr>
      <t>10.2.1</t>
    </r>
  </si>
  <si>
    <r>
      <rPr>
        <sz val="8"/>
        <rFont val="Arial Narrow"/>
        <family val="2"/>
      </rPr>
      <t>10.2.2</t>
    </r>
  </si>
  <si>
    <r>
      <rPr>
        <sz val="8"/>
        <rFont val="Arial Narrow"/>
        <family val="2"/>
      </rPr>
      <t>تنفيذ برنامج الشفافية المؤسسية من جانب السلطات العامة.</t>
    </r>
  </si>
  <si>
    <r>
      <rPr>
        <b/>
        <sz val="8"/>
        <color indexed="10"/>
        <rFont val="Arial Narrow"/>
        <family val="2"/>
      </rPr>
      <t>لا تكلفة</t>
    </r>
  </si>
  <si>
    <r>
      <rPr>
        <sz val="8"/>
        <rFont val="Arial Narrow"/>
        <family val="2"/>
      </rPr>
      <t>11.3.1</t>
    </r>
  </si>
  <si>
    <t xml:space="preserve">مجموعة أدوات الإعداد والتنفيذ </t>
  </si>
  <si>
    <t>بإصلاح الإدارة العامة والاستراتيجيات القطاعية</t>
  </si>
  <si>
    <t>الهدف 1 - تحسن سياسات التخطيط والتنسيق لصوغ الوثائق الاستراتيجية الحكومية التي تحول السياسات إلى إجراءات ملموسة.</t>
  </si>
  <si>
    <t>تقييم الموقف الراهن والإطار التنظيمي لصوغ استراتيجيات خاصة بكل قطاع واستراتيجيات شاملة بالإضافة إلى قدرات الجهات المعنية المشاركة في العملية (الوحدات المركزية التابعة لمكتب رئيس الوزراء ووحدات المؤسسات المركزية).</t>
  </si>
  <si>
    <t>صوغ الإطار القانوني لإعداد الاستراتيجيات الخاصة بالقطاعات المختلفة والاستراتيجيات الشاملة والوثائق الاستراتيجية للقطاعات 2015-2020 في إطار الاستراتيجية الوطنية للتنمية والتكامل 2015-2020.</t>
  </si>
  <si>
    <t>بناء قدرات الإدارة المركزية على صوغ خطط الميزانية متوسط الأجل (MTBP).</t>
  </si>
  <si>
    <t>بناء قدرات الوزارات المباشرة من حيث صوغ السياسات والاستراتيجيات وخطط العمل وبرامج التطوير.</t>
  </si>
  <si>
    <t xml:space="preserve">الهدف 2: نظام شفاف وشامل لصوغ القوانين يعتمد على السياسات ويضمن المواءمة مع acquis </t>
  </si>
  <si>
    <t xml:space="preserve"> تقييم موقف التحديات الراهنة لنظام صوغ التشريعات.</t>
  </si>
  <si>
    <t>صوغ الأدلة الخاصة بالتقنية التشريعية عند صوغ القوانين التشريعية والتنظيمية ودليل صوغ القوانين.</t>
  </si>
  <si>
    <t>صوغ وتبني وثيقة استراتيجية عن نظام الرواتب وتبني هيكل الأجور الجديد.</t>
  </si>
  <si>
    <t>صوغ الأدلة والنماذج القياسية لتوفير الخدمة بطريقة موحدة ومدونة.</t>
  </si>
  <si>
    <t>بعد صوغ الطريقة</t>
  </si>
  <si>
    <t xml:space="preserve"> صوغ وثيقة استراتيجية عن نظام الرواتب وتبني هيكل الأجور الجديد (2017)</t>
  </si>
  <si>
    <t>الانتهاء من صوغ خطة والجدول الزمني للتدريب الإلزامي للموظفين تحت الاختبار وفقًا للتخصصات الوظيفية المختلفة.</t>
  </si>
  <si>
    <t>1-1 تقييم الموقف الراهن والإطار التنظيمي لصوغ استراتيجيات خاصة بكل قطاع واستراتيجيات شاملة بالإضافة إلى قدرات الجهات المعنية المشاركة في العملية (الوحدات المركزية التابعة لمكتب رئيس الوزراء ووحدات المؤسسات المركزية).</t>
  </si>
  <si>
    <t>الانتهاء من مراجعة الإطار التنظيمي للاستراتيجيات القطاعية والاستراتيجيات الشاملة (مراجعة أمر صوغ الاستراتيجيات القطاعية والاستراتيجيات الشاملة)</t>
  </si>
  <si>
    <t xml:space="preserve">صوغ الاستراتيجيات والوثائق الشاملة </t>
  </si>
  <si>
    <t>صوغ الخطط الإدارية الشاملة (IMP) للوزارات المباشرة</t>
  </si>
  <si>
    <t>صوغ الإطار القانوني التنظيمي لصوغ الاستراتيجيات الخاصة بالقطاعات المختلفة والاستراتيجيات الشاملة والوثائق الاستراتيجية للقطاعات 2015-2020 في إطار الاستراتيجية الوطنية للتنمية والتكامل 2015-2020.</t>
  </si>
  <si>
    <t>صوغ التحليل القطاعي والشامل للتنفيذ على المدى المتوسط (المرحلة 2014/2015-2016).</t>
  </si>
  <si>
    <t>الهدف 2: نظام شفاف وشامل لصوغ القوانين يعتمد على السياسات ويضمن المواءمة مع acquis communautaire.</t>
  </si>
  <si>
    <t>2-1 تقييم موقف التحديات الراهنة لنظام صوغ التشريعات:</t>
  </si>
  <si>
    <t>تم صوغ تحليل تقييم الموقف.</t>
  </si>
  <si>
    <t>الحزمة التشريعية حول صوغ التشريعات (مشروعات القوانين واللوائح الداخلية).</t>
  </si>
  <si>
    <t>2-2 تعزيز تنفيذ دليل صوغ التشريعات بترقيته إلى مستوى قرار لمجلس الوزراء لضمان تنفيذه.</t>
  </si>
  <si>
    <t>صوغ وصف وظيفي واضح لكل منصب.</t>
  </si>
  <si>
    <t xml:space="preserve">صوغ دليل / بروتوكول عمل للتشاور حول القوانين المقترحة. </t>
  </si>
  <si>
    <t>صوغ دليل / بروتوكول عمل للتشاور حول القوانين المقترحة.</t>
  </si>
  <si>
    <t>تدريب الوحدات المركزية على صوغ القوانين</t>
  </si>
  <si>
    <t>تدريب الوزارات على صوغ القوانين</t>
  </si>
  <si>
    <t xml:space="preserve">تدريب المؤسسات المستقلة على صوغ القوانين </t>
  </si>
  <si>
    <t xml:space="preserve">بناء قدرات DPPFFA على صوغ التقارير السنوية الملخصة عن تطبيق الإطار الاستراتيجي (ToT) </t>
  </si>
  <si>
    <t xml:space="preserve">بناء قدرات الوزارة المباشرة على صوغ تقارير EMP  </t>
  </si>
  <si>
    <t>صوغ البرامج التدريبية.</t>
  </si>
  <si>
    <t>صوغ طريقة مراجعة القوانين من حيث المساحات القانونية التي تتيح فرصًا للفساد.</t>
  </si>
  <si>
    <t xml:space="preserve">تطوير نظام الرصد </t>
  </si>
  <si>
    <t>نشر تقارير الرصد</t>
  </si>
  <si>
    <t>بناء قدرات المؤسسات على استخدام نظام المعلومات الإدارية المالية الألباني وإعداد تقارير الرصد ذات الصلة.</t>
  </si>
  <si>
    <t xml:space="preserve">النظام الإلكتروني المتكامل للمراقبة "برج المراقبة". </t>
  </si>
  <si>
    <t>الجدول 1: حساب تقدير تكلفة استراتيجية الإصلاح الشامل للإدارة العامة - صنع السياسات والرصد والتشريع</t>
  </si>
  <si>
    <t>تطوير آلية للتقييم لرصد تنفيذ المعايير بتماسك وانسجام في الإدارة العامة.</t>
  </si>
  <si>
    <t>تطوير برنامج رصد تنفيذ المعايير (IPA A.2.1)</t>
  </si>
  <si>
    <t>صنع السياسات والتشريع والرصد</t>
  </si>
  <si>
    <t xml:space="preserve">الانتهاء من إعداد النظم وإجراءات مراقبة الجودة التي وضعتها الوكالات والجامعات الوطنية والدولية. </t>
  </si>
  <si>
    <t xml:space="preserve">© كافة الحقوق محفوظة. منظمة التعاون الاقتصادي والتنمية
لأن “سيغما” جزء من منظمة التعاون الاقتصادي والتنمية (منظمة التعاون الاقتصادي والتنمية)، 
فإن نفس شروط الاستخدام تنطبق على مطبوعاتها: http://www.منظمة التعاون الاقتصادي والتنمية.org/termsandconditions
</t>
  </si>
  <si>
    <t xml:space="preserve">OECD/SIGMA 
2 rue André Pascal 75775 Paris Cedex 16 France
بريد إلكتروني: sigmaweb@oecd.org
هاتف: +33 (0) 1 45 24 82 00
www.sigmaweb.org
</t>
  </si>
  <si>
    <t>والمراقبة ورفع التقارير والتقييم المتعلقة</t>
  </si>
  <si>
    <t>حساب وعرض تكاليف</t>
  </si>
  <si>
    <t>تم إعداد هذه الوثيقة بمساعدة مالية من الاتحاد الأوروبي. ولا يجوز اعتبارها تمثل وجهات النظر الرسمية للاتحاد الأوروبية ومنظمة التعاون الاقتصادي والتنمية أو الدول الأعضاء بها أو الشركاء المشاركين في برنامج سيغما. الآراء المعبر عنها والحجج المستعملة في هذه الوثيقة تخص مؤلفيها.</t>
  </si>
  <si>
    <t>هذه الوثيقة وأي بيانات أو خريطة واردة بها لا تشكّل إخلالاً بوضع أو سيادة أي إقليم ولا بالحدود الدولية ولا باسم أي إقليم أو مدينة أو منطقة.</t>
  </si>
  <si>
    <t>دورات تدريبية وحلقات نقاشية مع موظفي دائرة تطوير البرامج والشؤون المالية والمساعدات الخارجية</t>
  </si>
  <si>
    <t>بناء قدرات الوحدات التي تتعامل مع صوغ التشريعات ووحدات المراقبة المركزية.</t>
  </si>
  <si>
    <t>تقييم الموقف الراهن بخصوص نظام المراقبة والتقييم الذي تستخدمه الحكومة بما في ذلك المؤسسة المسؤولة عن تلك الوظائف والموارد البشرية المتوافرة والقدرات المطلوب بناؤها والطريقة المستخدمة والإطار التنظيمي المطبق.</t>
  </si>
  <si>
    <t>الهدف 3: بناء نظام فعال لمراقبة وتقييم الاستراتيجيات والبرامج والإطار القانوني الساري على أساس ما يلي: 1) جمع البيانات من خلال عملية محايدة وشفافة لصوغ وتنفيذ الاستراتيجيات والبرامج والتشريعات 2) وصوغ تحليل لتقييم الآثار الناجمة عن التنفيذ.</t>
  </si>
  <si>
    <t>بناء وتقوية نظام المراقبة والتقييم الخاص بالحكومة الألبانية من خلال إصلاح الإطار التنظيمي المطبق والمراجعة الوظيفية للوحدات المسؤولة عن المراقبة والتقييم في المؤسسات المركزية وبناء قدرات الموظفين في تلك المؤسسات وكذلك في وحدات المراقبة المركزية في مكتب رئيس الوزراء عن طريق تأسيس شبكة كفؤ للمراقبة والتقييم.</t>
  </si>
  <si>
    <t>صوغ طريقة المراقبة والتقييم.</t>
  </si>
  <si>
    <t>استخدام نظام المراقبة الإلكتروني من جانب المؤسسات الحكومية.</t>
  </si>
  <si>
    <t>صوغ مجموعة من المؤشرات لمراقبة إصلاح الخدمة المدنية وطباعتها بصفة منتظمة.</t>
  </si>
  <si>
    <t>السياسة والمراقبة</t>
  </si>
  <si>
    <t>بناء قدرات المؤسسات على استخادم نظام المعلومات الإدارية الألباني وإعداد تقارير المراقبة ذات الصلة</t>
  </si>
  <si>
    <t>دراسة وتحليل نقل الوظائف العامة لسوق مزودي الخدمات بالقطاع الخاص.</t>
  </si>
  <si>
    <t>4.1. إجراء دراسة لمراجعة الوظائف والتنظيم الداخلي لمؤسسات الإدارة على المستوى المركزي والمستوى المحلي.</t>
  </si>
  <si>
    <t>تقييم (جرد) وحدات الموارد البشرية الجديدة على المستوى الوطني.</t>
  </si>
  <si>
    <t>تعديل وتفعيل الوحدات التعليمية وإمكان تشغيل نظام معلومات إدارة الموارد البشرية على أكثر من منصة وطرحها للتشغيل النهائي</t>
  </si>
  <si>
    <t xml:space="preserve">تأسيس المجموعات التي ستتلقى الخدمة (مجموعات المستخدمين) و / أو مجموعة النقاش لتوفير التقييم حول جودة وفائدة الخدمات التي تقدمها ASPA. </t>
  </si>
  <si>
    <t xml:space="preserve">تحسين نظام التقييم عمومًا لتوفير بيانات ومعلومات كافية بخصوص أثر التدريب. </t>
  </si>
  <si>
    <t>تأسيس صلات مع الوكالات المهنية المتخصصة ووكالات مراقبة جودة التعليم / التدريب.</t>
  </si>
  <si>
    <t>تطوير نظم وإجراءات تحقق معايير مراقبة الجودة التي تضعها وكالات مراقبة جودة التعليم / التدريب.</t>
  </si>
  <si>
    <t>إتمام دراسة توحيد تحليل الموقف المبدئي (القيمة الأساسية).</t>
  </si>
  <si>
    <t>إعداد برنامج عام للتدريب على الرمز الجديد للإجراءات الإدارية.</t>
  </si>
  <si>
    <t>تطوير آلية للتقييم لمراقبة تنفيذ المعايير بتماسك وانسجام في الإدارة العامة.</t>
  </si>
  <si>
    <t>تطوير برنامج مراقبة تنفيذ المعايير (IPA A.2.1)</t>
  </si>
  <si>
    <t>المجلس الأوروبي</t>
  </si>
  <si>
    <t>تعديل وتفعيل الوحدات التعليمية وإمكانية تشغيل نظام معلومات إدارة الموارد البشرية على أكثر من منصة وطرحها للتشغيل النهائي.</t>
  </si>
  <si>
    <t>المصاريف التي تندرج تحت الفئة الاقتصادية "الأجور والرواتب": رمز 600-601)</t>
  </si>
  <si>
    <t>المانحون (المجلس الأوروبي +)</t>
  </si>
  <si>
    <t>مراجعة متوسطة المدى للاستراتيجيات والوثائق الاستراتيجية والاستراتيجية الوطنية للتنمية والتكامل 2014-2020</t>
  </si>
  <si>
    <t>دورات تدريبية وحلقات نقاشية مع موظفي دائرة تطوير البرامج والشؤون المالية والمساعدات الخارجية.</t>
  </si>
  <si>
    <t>بناء قدرات الوحدات التي تتعامل مع صوغ التشريعات ووحدات المراقبة المركزية:</t>
  </si>
  <si>
    <t xml:space="preserve">تحليل تقييم الموقف الراهن بخصوص مراقبة استراتيجيات القطاعات والاستراتيجيات الشاملة  </t>
  </si>
  <si>
    <t>مراجعة الأساس القانوني المتعلق بمراقبة استراتيجيات القطاعات والاستراتيجيات الشاملة</t>
  </si>
  <si>
    <t>تحليل تقييم الموقف الراهن للمراقبة والتقييم (الهياكل والموارد البشرية)</t>
  </si>
  <si>
    <t xml:space="preserve">تحليل تقييم الإطار القانوني والطريقة الحالية للمراقبة والتقييم (الهياكل والموارد البشرية) </t>
  </si>
  <si>
    <t xml:space="preserve"> تقييم الموقف الراهن بخصوص نظام المراقبة والتقييم الذي تستخدمه الحكومة بما في ذلك المؤسسة المسؤولة عن تلك الوظائف والموارد البشرية المتوافرة والقدرات المطلوب بناؤها والطريقة المستخدمة والإطار التنظيمي المطبق.</t>
  </si>
  <si>
    <t xml:space="preserve">تحليل الاحتياجات التدريبية لهياكل المراقبة والتقييم. </t>
  </si>
  <si>
    <t xml:space="preserve">تدريب موظفي وحدات المراقبة التابعة لمكتب رئيس الوزراء والوزارات المباشرة </t>
  </si>
  <si>
    <t xml:space="preserve">صوغ الإطار القانوني الجديد لنظام المراقبة والتقييم. </t>
  </si>
  <si>
    <t>بناء وتقوية نظام المراقبة والتقييم الخاص بالحكومة الألبانية من خلال إصلاح الإطار التنظيمي المطبق والمراجعة الوظيفية للوحدات المسؤولة عن المراقبة والتقييم في المؤسسات المركزية وبناء قدرات الموظفين في تلك المؤسسات وكذلك في وحدات المراقبة المركزية في مكتب رئيس الوزراء عن طريق تأسيس شبكة كفؤة المراقبة والتقييم.</t>
  </si>
  <si>
    <t>مراجعة هياكل الوزارات في ضوء تطبيق نظام المراقبة والتقييم</t>
  </si>
  <si>
    <t xml:space="preserve">تأسيس شبكة المراقبة والتقييم وبناء القدرات المتعلقة بهما (التدريب) </t>
  </si>
  <si>
    <t>دليل مراقبة الاستراتيجيات القطاعية / الشاملة (EMP) ودليل التدريب للإدارة (ToT)</t>
  </si>
  <si>
    <t>صوغ طريقة المراقبة والتقييم:</t>
  </si>
  <si>
    <t xml:space="preserve">صوغ طريقة مراقبة وتقييم البرنامج الحكومي  </t>
  </si>
  <si>
    <t>صوغ طريقة مراقبة وتقييم تنفيذ القوانين</t>
  </si>
  <si>
    <t>النظام الإلكتروني لمراقبة تنفيذ البرنامج الحكومي</t>
  </si>
  <si>
    <t>النظام الإلكتروني لمراقبة تدفق المعلومات والمراسلات</t>
  </si>
  <si>
    <t xml:space="preserve">النظام الإلكتروني للقوانين (نظام مراقبة عملية صوغ التشريعات) </t>
  </si>
  <si>
    <t>استخدام نظام المراقبة الإلكتروني من جانب المؤسسات الحكومية:</t>
  </si>
  <si>
    <t>المصاريف التي تندرج تحت الفئة الاقتصادية "الأجور والرواتب": (رمز 600-601)</t>
  </si>
  <si>
    <t>المجلس الأوروبي الإجمالي 250,000</t>
  </si>
  <si>
    <t>المجلس الأوروبي + مانحون آخرون</t>
  </si>
  <si>
    <t>إعداد برنامج عام للتدريب على الرمز الجديد للإجراءات الإدارية:</t>
  </si>
  <si>
    <t>استخدام تكنولوجيا المعلومات والاتصالات لتعزيز شفافية أنشطة الإدارة.</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</si>
</sst>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_);_(* \(#,##0\);_(* &quot;-&quot;??_);_(@_)"/>
    <numFmt numFmtId="173" formatCode="_(* #,##0.0_);_(* \(#,##0.0\);_(* &quot;-&quot;??_);_(@_)"/>
    <numFmt numFmtId="174" formatCode="_-* #,##0_-;\-* #,##0_-;_-* &quot;-&quot;??_-;_-@_-"/>
    <numFmt numFmtId="175" formatCode="&quot;Yes&quot;;&quot;Yes&quot;;&quot;No&quot;"/>
    <numFmt numFmtId="176" formatCode="&quot;True&quot;;&quot;True&quot;;&quot;False&quot;"/>
    <numFmt numFmtId="177" formatCode="&quot;On&quot;;&quot;On&quot;;&quot;Off&quot;"/>
    <numFmt numFmtId="178" formatCode="[$€-2]\ #,##0.00_);[Red]\([$€-2]\ #,##0.00\)"/>
  </numFmts>
  <fonts count="124">
    <font>
      <sz val="11"/>
      <color theme="1"/>
      <name val="Calibri"/>
      <family val="2"/>
    </font>
    <font>
      <sz val="11"/>
      <color indexed="8"/>
      <name val="Calibri"/>
      <family val="2"/>
    </font>
    <font>
      <sz val="8"/>
      <color indexed="8"/>
      <name val="Arial"/>
      <family val="2"/>
    </font>
    <font>
      <sz val="8"/>
      <name val="Arial"/>
      <family val="2"/>
    </font>
    <font>
      <b/>
      <i/>
      <sz val="8"/>
      <name val="Arial"/>
      <family val="2"/>
    </font>
    <font>
      <b/>
      <sz val="8"/>
      <name val="Arial"/>
      <family val="2"/>
    </font>
    <font>
      <i/>
      <sz val="8"/>
      <name val="Arial"/>
      <family val="2"/>
    </font>
    <font>
      <b/>
      <sz val="8"/>
      <color indexed="8"/>
      <name val="Arial"/>
      <family val="2"/>
    </font>
    <font>
      <sz val="8"/>
      <name val="Calibri"/>
      <family val="2"/>
    </font>
    <font>
      <b/>
      <sz val="8"/>
      <name val="Times New Roman"/>
      <family val="1"/>
    </font>
    <font>
      <b/>
      <sz val="10"/>
      <name val="Arial"/>
      <family val="2"/>
    </font>
    <font>
      <sz val="8"/>
      <name val="Arial Narrow"/>
      <family val="2"/>
    </font>
    <font>
      <b/>
      <sz val="8"/>
      <name val="Arial Narrow"/>
      <family val="2"/>
    </font>
    <font>
      <sz val="9"/>
      <color indexed="8"/>
      <name val="Arial"/>
      <family val="2"/>
    </font>
    <font>
      <sz val="8"/>
      <color indexed="8"/>
      <name val="Arial Narrow"/>
      <family val="2"/>
    </font>
    <font>
      <b/>
      <sz val="10"/>
      <name val="Arial Narrow"/>
      <family val="2"/>
    </font>
    <font>
      <b/>
      <i/>
      <sz val="8"/>
      <name val="Arial Narrow"/>
      <family val="2"/>
    </font>
    <font>
      <i/>
      <sz val="8"/>
      <name val="Arial Narrow"/>
      <family val="2"/>
    </font>
    <font>
      <b/>
      <sz val="8"/>
      <color indexed="8"/>
      <name val="Arial Narrow"/>
      <family val="2"/>
    </font>
    <font>
      <b/>
      <sz val="8"/>
      <color indexed="10"/>
      <name val="Arial Narrow"/>
      <family val="2"/>
    </font>
    <font>
      <sz val="10"/>
      <name val="Arial"/>
      <family val="2"/>
    </font>
    <font>
      <sz val="10"/>
      <color indexed="8"/>
      <name val="Arial"/>
      <family val="2"/>
    </font>
    <font>
      <b/>
      <sz val="10"/>
      <color indexed="8"/>
      <name val="Arial"/>
      <family val="2"/>
    </font>
    <font>
      <b/>
      <i/>
      <sz val="10"/>
      <name val="Arial"/>
      <family val="2"/>
    </font>
    <font>
      <sz val="10"/>
      <name val="Arial Narrow"/>
      <family val="2"/>
    </font>
    <font>
      <b/>
      <sz val="10"/>
      <color indexed="10"/>
      <name val="Arial"/>
      <family val="2"/>
    </font>
    <font>
      <sz val="8"/>
      <color indexed="10"/>
      <name val="Arial Narrow"/>
      <family val="2"/>
    </font>
    <font>
      <sz val="8"/>
      <color indexed="10"/>
      <name val="Arial"/>
      <family val="2"/>
    </font>
    <font>
      <sz val="8"/>
      <color indexed="18"/>
      <name val="Arial Narrow"/>
      <family val="2"/>
    </font>
    <font>
      <b/>
      <i/>
      <sz val="8"/>
      <color indexed="8"/>
      <name val="Arial Narrow"/>
      <family val="2"/>
    </font>
    <font>
      <b/>
      <sz val="10"/>
      <color indexed="10"/>
      <name val="Arial Narrow"/>
      <family val="2"/>
    </font>
    <font>
      <b/>
      <sz val="10"/>
      <color indexed="18"/>
      <name val="Arial"/>
      <family val="2"/>
    </font>
    <font>
      <sz val="10"/>
      <color indexed="10"/>
      <name val="Arial Narrow"/>
      <family val="2"/>
    </font>
    <font>
      <sz val="8"/>
      <color indexed="60"/>
      <name val="Arial"/>
      <family val="2"/>
    </font>
    <font>
      <b/>
      <sz val="9"/>
      <name val="Calibri"/>
      <family val="2"/>
    </font>
    <font>
      <sz val="9"/>
      <name val="Calibri"/>
      <family val="2"/>
    </font>
    <font>
      <b/>
      <sz val="10"/>
      <name val="Calibri"/>
      <family val="2"/>
    </font>
    <font>
      <b/>
      <sz val="22"/>
      <color indexed="49"/>
      <name val="Calibri"/>
      <family val="2"/>
    </font>
    <font>
      <sz val="6"/>
      <color indexed="23"/>
      <name val="Calibri"/>
      <family val="2"/>
    </font>
    <font>
      <b/>
      <sz val="8"/>
      <color indexed="60"/>
      <name val="Arial"/>
      <family val="2"/>
    </font>
    <font>
      <sz val="10"/>
      <color indexed="8"/>
      <name val="Calibri"/>
      <family val="0"/>
    </font>
    <font>
      <sz val="7.75"/>
      <color indexed="8"/>
      <name val="Calibri"/>
      <family val="0"/>
    </font>
    <font>
      <sz val="9"/>
      <color indexed="8"/>
      <name val="Calibri"/>
      <family val="0"/>
    </font>
    <font>
      <sz val="6.9"/>
      <color indexed="8"/>
      <name val="Calibri"/>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8.8"/>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b/>
      <sz val="8"/>
      <color indexed="18"/>
      <name val="Arial"/>
      <family val="2"/>
    </font>
    <font>
      <b/>
      <i/>
      <sz val="8"/>
      <color indexed="8"/>
      <name val="Arial"/>
      <family val="2"/>
    </font>
    <font>
      <sz val="8"/>
      <color indexed="18"/>
      <name val="Arial"/>
      <family val="2"/>
    </font>
    <font>
      <b/>
      <sz val="8"/>
      <color indexed="10"/>
      <name val="Arial"/>
      <family val="2"/>
    </font>
    <font>
      <b/>
      <sz val="8"/>
      <color indexed="18"/>
      <name val="Arial Narrow"/>
      <family val="2"/>
    </font>
    <font>
      <b/>
      <i/>
      <sz val="10"/>
      <color indexed="10"/>
      <name val="Arial"/>
      <family val="2"/>
    </font>
    <font>
      <sz val="10"/>
      <color indexed="18"/>
      <name val="Arial"/>
      <family val="2"/>
    </font>
    <font>
      <b/>
      <sz val="10"/>
      <color indexed="60"/>
      <name val="Arial Narrow"/>
      <family val="2"/>
    </font>
    <font>
      <sz val="10"/>
      <color indexed="60"/>
      <name val="Arial Narrow"/>
      <family val="2"/>
    </font>
    <font>
      <b/>
      <i/>
      <sz val="10"/>
      <color indexed="60"/>
      <name val="Arial Narrow"/>
      <family val="2"/>
    </font>
    <font>
      <sz val="6.5"/>
      <color indexed="21"/>
      <name val="Arial"/>
      <family val="2"/>
    </font>
    <font>
      <sz val="22"/>
      <color indexed="8"/>
      <name val="Calibri"/>
      <family val="2"/>
    </font>
    <font>
      <sz val="22"/>
      <color indexed="21"/>
      <name val="Arial"/>
      <family val="2"/>
    </font>
    <font>
      <sz val="6.5"/>
      <color indexed="55"/>
      <name val="Arial"/>
      <family val="2"/>
    </font>
    <font>
      <sz val="11"/>
      <color indexed="8"/>
      <name val="Arial Narrow"/>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8.8"/>
      <color theme="10"/>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8"/>
      <color theme="3" tint="-0.24997000396251678"/>
      <name val="Arial"/>
      <family val="2"/>
    </font>
    <font>
      <b/>
      <i/>
      <sz val="8"/>
      <color theme="1"/>
      <name val="Arial"/>
      <family val="2"/>
    </font>
    <font>
      <sz val="8"/>
      <color theme="3" tint="-0.24997000396251678"/>
      <name val="Arial"/>
      <family val="2"/>
    </font>
    <font>
      <sz val="8"/>
      <color rgb="FFFF0000"/>
      <name val="Arial Narrow"/>
      <family val="2"/>
    </font>
    <font>
      <b/>
      <sz val="8"/>
      <color theme="1"/>
      <name val="Arial"/>
      <family val="2"/>
    </font>
    <font>
      <b/>
      <sz val="8"/>
      <color rgb="FFFF0000"/>
      <name val="Arial"/>
      <family val="2"/>
    </font>
    <font>
      <sz val="8"/>
      <color rgb="FFFF0000"/>
      <name val="Arial"/>
      <family val="2"/>
    </font>
    <font>
      <sz val="8"/>
      <color rgb="FF000000"/>
      <name val="Arial"/>
      <family val="2"/>
    </font>
    <font>
      <sz val="8"/>
      <color theme="3" tint="-0.24997000396251678"/>
      <name val="Arial Narrow"/>
      <family val="2"/>
    </font>
    <font>
      <b/>
      <i/>
      <sz val="8"/>
      <color theme="1"/>
      <name val="Arial Narrow"/>
      <family val="2"/>
    </font>
    <font>
      <b/>
      <sz val="8"/>
      <color theme="3" tint="-0.24997000396251678"/>
      <name val="Arial Narrow"/>
      <family val="2"/>
    </font>
    <font>
      <b/>
      <sz val="10"/>
      <color rgb="FFFF0000"/>
      <name val="Arial Narrow"/>
      <family val="2"/>
    </font>
    <font>
      <b/>
      <i/>
      <sz val="10"/>
      <color rgb="FFFF0000"/>
      <name val="Arial"/>
      <family val="2"/>
    </font>
    <font>
      <sz val="10"/>
      <color theme="3" tint="-0.24997000396251678"/>
      <name val="Arial"/>
      <family val="2"/>
    </font>
    <font>
      <b/>
      <sz val="10"/>
      <color rgb="FFC00000"/>
      <name val="Arial Narrow"/>
      <family val="2"/>
    </font>
    <font>
      <sz val="10"/>
      <color rgb="FFC00000"/>
      <name val="Arial Narrow"/>
      <family val="2"/>
    </font>
    <font>
      <b/>
      <i/>
      <sz val="10"/>
      <color rgb="FFC00000"/>
      <name val="Arial Narrow"/>
      <family val="2"/>
    </font>
    <font>
      <b/>
      <sz val="10"/>
      <color theme="3" tint="-0.24997000396251678"/>
      <name val="Arial"/>
      <family val="2"/>
    </font>
    <font>
      <sz val="10"/>
      <color rgb="FFFF0000"/>
      <name val="Arial Narrow"/>
      <family val="2"/>
    </font>
    <font>
      <sz val="8"/>
      <color rgb="FFC00000"/>
      <name val="Arial"/>
      <family val="2"/>
    </font>
    <font>
      <sz val="8"/>
      <color theme="1"/>
      <name val="Arial"/>
      <family val="2"/>
    </font>
    <font>
      <sz val="6.5"/>
      <color rgb="FF008080"/>
      <name val="Arial"/>
      <family val="2"/>
    </font>
    <font>
      <sz val="22"/>
      <color theme="1"/>
      <name val="Calibri"/>
      <family val="2"/>
    </font>
    <font>
      <b/>
      <sz val="22"/>
      <color rgb="FF31849B"/>
      <name val="Calibri"/>
      <family val="2"/>
    </font>
    <font>
      <sz val="22"/>
      <color rgb="FF008080"/>
      <name val="Arial"/>
      <family val="2"/>
    </font>
    <font>
      <sz val="6"/>
      <color theme="0" tint="-0.4999699890613556"/>
      <name val="Calibri"/>
      <family val="2"/>
    </font>
    <font>
      <sz val="6.5"/>
      <color theme="0" tint="-0.3499799966812134"/>
      <name val="Arial"/>
      <family val="2"/>
    </font>
    <font>
      <sz val="11"/>
      <color theme="1"/>
      <name val="Arial Narrow"/>
      <family val="2"/>
    </font>
    <font>
      <b/>
      <sz val="8"/>
      <color rgb="FFC00000"/>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rgb="FFFF0000"/>
        <bgColor indexed="64"/>
      </patternFill>
    </fill>
    <fill>
      <patternFill patternType="solid">
        <fgColor theme="3" tint="0.5999900102615356"/>
        <bgColor indexed="64"/>
      </patternFill>
    </fill>
    <fill>
      <patternFill patternType="solid">
        <fgColor rgb="FF00B050"/>
        <bgColor indexed="64"/>
      </patternFill>
    </fill>
    <fill>
      <patternFill patternType="solid">
        <fgColor rgb="FFFFC000"/>
        <bgColor indexed="64"/>
      </patternFill>
    </fill>
    <fill>
      <patternFill patternType="solid">
        <fgColor theme="3" tint="0.7999799847602844"/>
        <bgColor indexed="64"/>
      </patternFill>
    </fill>
    <fill>
      <patternFill patternType="solid">
        <fgColor rgb="FFFFFF99"/>
        <bgColor indexed="64"/>
      </patternFill>
    </fill>
    <fill>
      <patternFill patternType="solid">
        <fgColor rgb="FFFFFFFF"/>
        <bgColor indexed="64"/>
      </patternFill>
    </fill>
  </fills>
  <borders count="1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style="medium"/>
    </border>
    <border>
      <left/>
      <right style="thin"/>
      <top style="thin"/>
      <bottom style="thin"/>
    </border>
    <border>
      <left style="thin"/>
      <right style="thin"/>
      <top/>
      <bottom style="thin"/>
    </border>
    <border>
      <left style="thin"/>
      <right style="thin"/>
      <top style="medium"/>
      <bottom style="thin"/>
    </border>
    <border>
      <left style="medium"/>
      <right style="thin"/>
      <top style="thin"/>
      <bottom style="thin"/>
    </border>
    <border>
      <left/>
      <right style="medium"/>
      <top style="thin"/>
      <bottom style="thin"/>
    </border>
    <border>
      <left style="medium"/>
      <right style="thin"/>
      <top style="thin"/>
      <bottom style="medium"/>
    </border>
    <border>
      <left/>
      <right style="thin"/>
      <top style="thin"/>
      <bottom/>
    </border>
    <border>
      <left style="thin"/>
      <right style="thin"/>
      <top style="thin"/>
      <bottom/>
    </border>
    <border>
      <left style="thin"/>
      <right/>
      <top style="thin"/>
      <bottom/>
    </border>
    <border>
      <left style="thin"/>
      <right style="medium"/>
      <top style="thin"/>
      <bottom style="thin"/>
    </border>
    <border>
      <left style="thin"/>
      <right style="medium"/>
      <top style="medium"/>
      <bottom style="thin"/>
    </border>
    <border>
      <left/>
      <right style="thin"/>
      <top style="thin"/>
      <bottom style="medium"/>
    </border>
    <border>
      <left/>
      <right/>
      <top/>
      <bottom style="medium"/>
    </border>
    <border>
      <left style="medium"/>
      <right style="thin"/>
      <top style="thin"/>
      <bottom/>
    </border>
    <border>
      <left style="thin"/>
      <right style="thin"/>
      <top style="medium"/>
      <bottom/>
    </border>
    <border>
      <left/>
      <right style="thin"/>
      <top style="medium"/>
      <bottom style="thin"/>
    </border>
    <border>
      <left/>
      <right style="thin"/>
      <top/>
      <bottom style="thin"/>
    </border>
    <border>
      <left style="thin"/>
      <right style="thin"/>
      <top style="medium"/>
      <bottom style="medium"/>
    </border>
    <border>
      <left/>
      <right/>
      <top/>
      <bottom style="thin"/>
    </border>
    <border>
      <left style="thin"/>
      <right style="thin"/>
      <top/>
      <bottom/>
    </border>
    <border>
      <left style="medium"/>
      <right style="thin"/>
      <top/>
      <bottom/>
    </border>
    <border>
      <left/>
      <right/>
      <top style="thin"/>
      <bottom/>
    </border>
    <border>
      <left style="thin"/>
      <right/>
      <top style="thin"/>
      <bottom style="thin"/>
    </border>
    <border>
      <left style="thin"/>
      <right/>
      <top/>
      <bottom style="thin"/>
    </border>
    <border>
      <left style="thin"/>
      <right style="thin"/>
      <top/>
      <bottom style="medium"/>
    </border>
    <border>
      <left/>
      <right/>
      <top style="medium"/>
      <bottom/>
    </border>
    <border>
      <left/>
      <right/>
      <top style="thin"/>
      <bottom style="thin"/>
    </border>
    <border>
      <left/>
      <right/>
      <top style="thin"/>
      <bottom style="medium"/>
    </border>
    <border>
      <left style="medium"/>
      <right/>
      <top/>
      <bottom style="thin"/>
    </border>
    <border>
      <left/>
      <right style="medium"/>
      <top/>
      <bottom style="thin"/>
    </border>
    <border>
      <left style="thin"/>
      <right/>
      <top/>
      <bottom/>
    </border>
    <border>
      <left style="thin"/>
      <right style="medium"/>
      <top style="thin"/>
      <bottom style="medium"/>
    </border>
    <border>
      <left/>
      <right style="thin"/>
      <top/>
      <bottom/>
    </border>
    <border>
      <left style="medium"/>
      <right style="thin"/>
      <top/>
      <bottom style="thin"/>
    </border>
    <border>
      <left/>
      <right/>
      <top style="medium"/>
      <bottom style="thin"/>
    </border>
    <border>
      <left style="medium">
        <color theme="5"/>
      </left>
      <right style="thin">
        <color theme="5"/>
      </right>
      <top/>
      <bottom style="thin">
        <color theme="5"/>
      </bottom>
    </border>
    <border>
      <left style="thin">
        <color theme="5"/>
      </left>
      <right style="thin">
        <color theme="5"/>
      </right>
      <top/>
      <bottom style="thin">
        <color theme="5"/>
      </bottom>
    </border>
    <border>
      <left style="thin">
        <color theme="5"/>
      </left>
      <right style="medium">
        <color theme="5"/>
      </right>
      <top/>
      <bottom style="thin">
        <color theme="5"/>
      </bottom>
    </border>
    <border>
      <left style="medium">
        <color theme="5"/>
      </left>
      <right style="thin">
        <color theme="5"/>
      </right>
      <top style="thin">
        <color theme="5"/>
      </top>
      <bottom style="thin">
        <color theme="5"/>
      </bottom>
    </border>
    <border>
      <left style="thin">
        <color theme="5"/>
      </left>
      <right style="thin">
        <color theme="5"/>
      </right>
      <top style="thin">
        <color theme="5"/>
      </top>
      <bottom style="thin">
        <color theme="5"/>
      </bottom>
    </border>
    <border>
      <left style="thin">
        <color theme="5"/>
      </left>
      <right style="medium">
        <color theme="5"/>
      </right>
      <top style="thin">
        <color theme="5"/>
      </top>
      <bottom style="thin">
        <color theme="5"/>
      </bottom>
    </border>
    <border>
      <left style="medium">
        <color theme="5"/>
      </left>
      <right style="thin">
        <color theme="5"/>
      </right>
      <top style="thin">
        <color theme="5"/>
      </top>
      <bottom style="medium">
        <color theme="5"/>
      </bottom>
    </border>
    <border>
      <left style="thin">
        <color theme="5"/>
      </left>
      <right style="thin">
        <color theme="5"/>
      </right>
      <top style="thin">
        <color theme="5"/>
      </top>
      <bottom style="medium">
        <color theme="5"/>
      </bottom>
    </border>
    <border>
      <left style="thin">
        <color theme="5"/>
      </left>
      <right style="medium">
        <color theme="5"/>
      </right>
      <top style="thin">
        <color theme="5"/>
      </top>
      <bottom style="medium">
        <color theme="5"/>
      </bottom>
    </border>
    <border>
      <left style="medium">
        <color theme="3"/>
      </left>
      <right/>
      <top style="medium">
        <color theme="3"/>
      </top>
      <bottom style="thin">
        <color theme="3"/>
      </bottom>
    </border>
    <border>
      <left style="medium">
        <color theme="3"/>
      </left>
      <right style="thin">
        <color theme="3"/>
      </right>
      <top style="thin">
        <color theme="3"/>
      </top>
      <bottom style="medium">
        <color theme="3"/>
      </bottom>
    </border>
    <border>
      <left style="thin">
        <color theme="3"/>
      </left>
      <right style="thin">
        <color theme="3"/>
      </right>
      <top/>
      <bottom style="medium">
        <color theme="3"/>
      </bottom>
    </border>
    <border>
      <left style="thin">
        <color theme="3"/>
      </left>
      <right style="thin">
        <color theme="3"/>
      </right>
      <top/>
      <bottom style="thin">
        <color theme="3"/>
      </bottom>
    </border>
    <border>
      <left style="thin">
        <color theme="3"/>
      </left>
      <right style="thin">
        <color theme="3"/>
      </right>
      <top style="thin">
        <color theme="3"/>
      </top>
      <bottom style="thin">
        <color theme="3"/>
      </bottom>
    </border>
    <border>
      <left style="thin">
        <color theme="3"/>
      </left>
      <right style="thin">
        <color theme="3"/>
      </right>
      <top style="thin">
        <color theme="3"/>
      </top>
      <bottom/>
    </border>
    <border>
      <left style="thin">
        <color theme="6" tint="-0.4999699890613556"/>
      </left>
      <right style="thin">
        <color theme="6" tint="-0.4999699890613556"/>
      </right>
      <top style="thin">
        <color theme="6" tint="-0.4999699890613556"/>
      </top>
      <bottom style="thin">
        <color theme="6" tint="-0.4999699890613556"/>
      </bottom>
    </border>
    <border>
      <left style="medium">
        <color theme="6" tint="-0.4999699890613556"/>
      </left>
      <right style="thin">
        <color theme="6" tint="-0.4999699890613556"/>
      </right>
      <top style="thin">
        <color theme="6" tint="-0.4999699890613556"/>
      </top>
      <bottom style="thin">
        <color theme="6" tint="-0.4999699890613556"/>
      </bottom>
    </border>
    <border>
      <left style="thin">
        <color theme="6" tint="-0.4999699890613556"/>
      </left>
      <right style="medium">
        <color theme="6" tint="-0.4999699890613556"/>
      </right>
      <top style="thin">
        <color theme="6" tint="-0.4999699890613556"/>
      </top>
      <bottom style="thin">
        <color theme="6" tint="-0.4999699890613556"/>
      </bottom>
    </border>
    <border>
      <left style="medium">
        <color theme="6" tint="-0.4999699890613556"/>
      </left>
      <right style="thin">
        <color theme="6" tint="-0.4999699890613556"/>
      </right>
      <top style="thin">
        <color theme="6" tint="-0.4999699890613556"/>
      </top>
      <bottom style="medium">
        <color theme="6" tint="-0.4999699890613556"/>
      </bottom>
    </border>
    <border>
      <left style="medium">
        <color theme="6" tint="-0.4999699890613556"/>
      </left>
      <right style="thin">
        <color theme="6" tint="-0.4999699890613556"/>
      </right>
      <top/>
      <bottom style="thin">
        <color theme="6" tint="-0.4999699890613556"/>
      </bottom>
    </border>
    <border>
      <left style="thin">
        <color theme="6" tint="-0.4999699890613556"/>
      </left>
      <right style="thin">
        <color theme="6" tint="-0.4999699890613556"/>
      </right>
      <top/>
      <bottom style="thin">
        <color theme="6" tint="-0.4999699890613556"/>
      </bottom>
    </border>
    <border>
      <left style="thin">
        <color theme="6" tint="-0.4999699890613556"/>
      </left>
      <right style="medium">
        <color theme="6" tint="-0.4999699890613556"/>
      </right>
      <top/>
      <bottom style="thin">
        <color theme="6" tint="-0.4999699890613556"/>
      </bottom>
    </border>
    <border>
      <left style="thin">
        <color theme="6" tint="-0.4999699890613556"/>
      </left>
      <right style="thin">
        <color theme="6" tint="-0.4999699890613556"/>
      </right>
      <top style="thin">
        <color theme="6" tint="-0.4999699890613556"/>
      </top>
      <bottom/>
    </border>
    <border>
      <left style="thin">
        <color theme="6" tint="-0.4999699890613556"/>
      </left>
      <right style="medium">
        <color theme="6" tint="-0.4999699890613556"/>
      </right>
      <top style="thin">
        <color theme="6" tint="-0.4999699890613556"/>
      </top>
      <bottom/>
    </border>
    <border>
      <left style="medium">
        <color theme="6" tint="-0.4999699890613556"/>
      </left>
      <right style="thin">
        <color theme="6" tint="-0.4999699890613556"/>
      </right>
      <top style="medium">
        <color theme="6" tint="-0.4999699890613556"/>
      </top>
      <bottom style="medium">
        <color theme="6" tint="-0.4999699890613556"/>
      </bottom>
    </border>
    <border>
      <left style="medium">
        <color theme="6" tint="-0.4999699890613556"/>
      </left>
      <right style="thin">
        <color theme="6" tint="-0.4999699890613556"/>
      </right>
      <top style="thin">
        <color theme="6" tint="-0.4999699890613556"/>
      </top>
      <bottom/>
    </border>
    <border>
      <left style="thin">
        <color theme="6" tint="-0.4999699890613556"/>
      </left>
      <right style="thin">
        <color theme="6" tint="-0.4999699890613556"/>
      </right>
      <top style="medium">
        <color theme="6" tint="-0.4999699890613556"/>
      </top>
      <bottom style="medium">
        <color theme="6" tint="-0.4999699890613556"/>
      </bottom>
    </border>
    <border>
      <left style="thin">
        <color theme="6" tint="-0.4999699890613556"/>
      </left>
      <right style="medium">
        <color theme="6" tint="-0.4999699890613556"/>
      </right>
      <top style="medium">
        <color theme="6" tint="-0.4999699890613556"/>
      </top>
      <bottom style="medium">
        <color theme="6" tint="-0.4999699890613556"/>
      </bottom>
    </border>
    <border>
      <left/>
      <right/>
      <top/>
      <bottom style="medium">
        <color theme="6" tint="-0.4999699890613556"/>
      </bottom>
    </border>
    <border>
      <left style="medium">
        <color theme="6" tint="-0.4999699890613556"/>
      </left>
      <right style="medium">
        <color theme="6" tint="-0.4999699890613556"/>
      </right>
      <top style="medium">
        <color theme="6" tint="-0.4999699890613556"/>
      </top>
      <bottom style="medium">
        <color theme="6" tint="-0.4999699890613556"/>
      </bottom>
    </border>
    <border>
      <left style="medium">
        <color theme="5"/>
      </left>
      <right style="medium">
        <color theme="5"/>
      </right>
      <top style="medium">
        <color theme="5"/>
      </top>
      <bottom style="medium">
        <color theme="5"/>
      </bottom>
    </border>
    <border>
      <left style="thin">
        <color theme="6" tint="-0.4999699890613556"/>
      </left>
      <right style="medium">
        <color theme="6" tint="-0.4999699890613556"/>
      </right>
      <top style="thin">
        <color theme="6" tint="-0.4999699890613556"/>
      </top>
      <bottom style="medium">
        <color theme="6" tint="-0.4999699890613556"/>
      </bottom>
    </border>
    <border>
      <left style="medium">
        <color theme="3"/>
      </left>
      <right style="thin">
        <color theme="3"/>
      </right>
      <top style="medium">
        <color theme="3"/>
      </top>
      <bottom style="medium">
        <color theme="3"/>
      </bottom>
    </border>
    <border>
      <left style="thin">
        <color theme="3"/>
      </left>
      <right style="thin">
        <color theme="3"/>
      </right>
      <top style="medium">
        <color theme="3"/>
      </top>
      <bottom style="medium">
        <color theme="3"/>
      </bottom>
    </border>
    <border>
      <left style="thin">
        <color theme="3"/>
      </left>
      <right style="medium">
        <color theme="3"/>
      </right>
      <top style="medium">
        <color theme="3"/>
      </top>
      <bottom style="medium">
        <color theme="3"/>
      </bottom>
    </border>
    <border>
      <left/>
      <right style="medium">
        <color theme="3"/>
      </right>
      <top style="medium">
        <color theme="3"/>
      </top>
      <bottom style="thin">
        <color theme="3"/>
      </bottom>
    </border>
    <border>
      <left style="thin">
        <color theme="3"/>
      </left>
      <right style="medium">
        <color theme="3"/>
      </right>
      <top style="thin">
        <color theme="3"/>
      </top>
      <bottom style="medium">
        <color theme="3"/>
      </bottom>
    </border>
    <border>
      <left style="medium">
        <color theme="6" tint="-0.4999699890613556"/>
      </left>
      <right/>
      <top style="medium">
        <color theme="6" tint="-0.4999699890613556"/>
      </top>
      <bottom style="thin">
        <color theme="6" tint="-0.4999699890613556"/>
      </bottom>
    </border>
    <border>
      <left style="medium">
        <color theme="6" tint="-0.4999699890613556"/>
      </left>
      <right/>
      <top style="thin">
        <color theme="6" tint="-0.4999699890613556"/>
      </top>
      <bottom style="medium">
        <color theme="6" tint="-0.4999699890613556"/>
      </bottom>
    </border>
    <border>
      <left style="medium">
        <color theme="6" tint="-0.4999699890613556"/>
      </left>
      <right style="medium">
        <color theme="6" tint="-0.4999699890613556"/>
      </right>
      <top style="medium">
        <color theme="6" tint="-0.4999699890613556"/>
      </top>
      <bottom style="thin">
        <color theme="6" tint="-0.4999699890613556"/>
      </bottom>
    </border>
    <border>
      <left style="medium">
        <color theme="6" tint="-0.4999699890613556"/>
      </left>
      <right style="medium">
        <color theme="6" tint="-0.4999699890613556"/>
      </right>
      <top style="thin">
        <color theme="6" tint="-0.4999699890613556"/>
      </top>
      <bottom style="medium">
        <color theme="6" tint="-0.4999699890613556"/>
      </bottom>
    </border>
    <border>
      <left style="medium">
        <color theme="5"/>
      </left>
      <right style="medium">
        <color theme="5"/>
      </right>
      <top style="medium">
        <color theme="5"/>
      </top>
      <bottom style="thin">
        <color theme="5"/>
      </bottom>
    </border>
    <border>
      <left style="medium">
        <color theme="5"/>
      </left>
      <right style="medium">
        <color theme="5"/>
      </right>
      <top style="thin">
        <color theme="5"/>
      </top>
      <bottom style="medium">
        <color theme="5"/>
      </bottom>
    </border>
    <border>
      <left style="medium">
        <color theme="5"/>
      </left>
      <right style="medium">
        <color theme="5"/>
      </right>
      <top style="medium">
        <color theme="5"/>
      </top>
      <bottom/>
    </border>
    <border>
      <left style="medium">
        <color theme="5"/>
      </left>
      <right style="medium">
        <color theme="5"/>
      </right>
      <top/>
      <bottom style="medium">
        <color theme="5"/>
      </bottom>
    </border>
    <border>
      <left style="medium">
        <color theme="5"/>
      </left>
      <right/>
      <top style="medium">
        <color theme="5"/>
      </top>
      <bottom style="medium">
        <color theme="5"/>
      </bottom>
    </border>
    <border>
      <left/>
      <right/>
      <top style="medium">
        <color theme="5"/>
      </top>
      <bottom style="medium">
        <color theme="5"/>
      </bottom>
    </border>
    <border>
      <left/>
      <right style="medium">
        <color theme="5"/>
      </right>
      <top style="medium">
        <color theme="5"/>
      </top>
      <bottom style="medium">
        <color theme="5"/>
      </bottom>
    </border>
    <border>
      <left style="medium"/>
      <right style="thin"/>
      <top style="medium"/>
      <bottom style="thin"/>
    </border>
    <border>
      <left style="thin"/>
      <right/>
      <top style="medium"/>
      <bottom style="thin"/>
    </border>
    <border>
      <left style="medium"/>
      <right/>
      <top style="medium"/>
      <bottom style="thin"/>
    </border>
    <border>
      <left style="thin"/>
      <right/>
      <top style="medium"/>
      <bottom/>
    </border>
    <border>
      <left/>
      <right style="thin"/>
      <top style="medium"/>
      <bottom/>
    </border>
    <border>
      <left style="medium"/>
      <right style="thin"/>
      <top style="medium"/>
      <bottom/>
    </border>
    <border>
      <left style="medium"/>
      <right style="thin"/>
      <top/>
      <bottom style="medium"/>
    </border>
    <border>
      <left style="medium"/>
      <right/>
      <top style="medium"/>
      <bottom/>
    </border>
    <border>
      <left/>
      <right style="medium"/>
      <top style="medium"/>
      <bottom/>
    </border>
    <border>
      <left style="medium"/>
      <right/>
      <top/>
      <bottom/>
    </border>
    <border>
      <left/>
      <right style="medium"/>
      <top/>
      <bottom/>
    </border>
    <border>
      <left style="thin"/>
      <right style="medium"/>
      <top style="medium"/>
      <bottom/>
    </border>
    <border>
      <left style="thin"/>
      <right style="medium"/>
      <top/>
      <bottom/>
    </border>
    <border>
      <left style="thin"/>
      <right style="medium"/>
      <top/>
      <bottom style="medium"/>
    </border>
    <border>
      <left/>
      <right style="medium"/>
      <top style="thin"/>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77" fillId="20" borderId="0" applyNumberFormat="0" applyBorder="0" applyAlignment="0" applyProtection="0"/>
    <xf numFmtId="0" fontId="77" fillId="21" borderId="0" applyNumberFormat="0" applyBorder="0" applyAlignment="0" applyProtection="0"/>
    <xf numFmtId="0" fontId="77" fillId="22" borderId="0" applyNumberFormat="0" applyBorder="0" applyAlignment="0" applyProtection="0"/>
    <xf numFmtId="0" fontId="77" fillId="23" borderId="0" applyNumberFormat="0" applyBorder="0" applyAlignment="0" applyProtection="0"/>
    <xf numFmtId="0" fontId="77" fillId="24" borderId="0" applyNumberFormat="0" applyBorder="0" applyAlignment="0" applyProtection="0"/>
    <xf numFmtId="0" fontId="77" fillId="25" borderId="0" applyNumberFormat="0" applyBorder="0" applyAlignment="0" applyProtection="0"/>
    <xf numFmtId="0" fontId="78" fillId="26" borderId="0" applyNumberFormat="0" applyBorder="0" applyAlignment="0" applyProtection="0"/>
    <xf numFmtId="0" fontId="79" fillId="27" borderId="1" applyNumberFormat="0" applyAlignment="0" applyProtection="0"/>
    <xf numFmtId="0" fontId="80" fillId="28" borderId="2" applyNumberFormat="0" applyAlignment="0" applyProtection="0"/>
    <xf numFmtId="43" fontId="1"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3" fillId="29" borderId="0" applyNumberFormat="0" applyBorder="0" applyAlignment="0" applyProtection="0"/>
    <xf numFmtId="0" fontId="84" fillId="0" borderId="3" applyNumberFormat="0" applyFill="0" applyAlignment="0" applyProtection="0"/>
    <xf numFmtId="0" fontId="85" fillId="0" borderId="4" applyNumberFormat="0" applyFill="0" applyAlignment="0" applyProtection="0"/>
    <xf numFmtId="0" fontId="86" fillId="0" borderId="5" applyNumberFormat="0" applyFill="0" applyAlignment="0" applyProtection="0"/>
    <xf numFmtId="0" fontId="86" fillId="0" borderId="0" applyNumberFormat="0" applyFill="0" applyBorder="0" applyAlignment="0" applyProtection="0"/>
    <xf numFmtId="0" fontId="87" fillId="0" borderId="0" applyNumberFormat="0" applyFill="0" applyBorder="0" applyAlignment="0" applyProtection="0"/>
    <xf numFmtId="0" fontId="88" fillId="30" borderId="1" applyNumberFormat="0" applyAlignment="0" applyProtection="0"/>
    <xf numFmtId="0" fontId="89" fillId="0" borderId="6" applyNumberFormat="0" applyFill="0" applyAlignment="0" applyProtection="0"/>
    <xf numFmtId="0" fontId="90"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91" fillId="27" borderId="8" applyNumberFormat="0" applyAlignment="0" applyProtection="0"/>
    <xf numFmtId="9" fontId="1" fillId="0" borderId="0" applyFont="0" applyFill="0" applyBorder="0" applyAlignment="0" applyProtection="0"/>
    <xf numFmtId="0" fontId="92" fillId="0" borderId="0" applyNumberFormat="0" applyFill="0" applyBorder="0" applyAlignment="0" applyProtection="0"/>
    <xf numFmtId="0" fontId="93" fillId="0" borderId="9" applyNumberFormat="0" applyFill="0" applyAlignment="0" applyProtection="0"/>
    <xf numFmtId="0" fontId="94" fillId="0" borderId="0" applyNumberFormat="0" applyFill="0" applyBorder="0" applyAlignment="0" applyProtection="0"/>
  </cellStyleXfs>
  <cellXfs count="1221">
    <xf numFmtId="0" fontId="0" fillId="0" borderId="0" xfId="0" applyFont="1" applyAlignment="1">
      <alignment/>
    </xf>
    <xf numFmtId="0" fontId="3" fillId="0" borderId="0" xfId="0" applyFont="1" applyFill="1" applyBorder="1" applyAlignment="1" applyProtection="1">
      <alignment horizontal="right"/>
      <protection locked="0"/>
    </xf>
    <xf numFmtId="0" fontId="5" fillId="2" borderId="10" xfId="0" applyFont="1" applyFill="1" applyBorder="1" applyAlignment="1" applyProtection="1">
      <alignment horizontal="right"/>
      <protection locked="0"/>
    </xf>
    <xf numFmtId="0" fontId="2" fillId="0" borderId="0" xfId="0" applyFont="1" applyFill="1" applyBorder="1" applyAlignment="1" applyProtection="1">
      <alignment/>
      <protection locked="0"/>
    </xf>
    <xf numFmtId="0" fontId="4" fillId="0" borderId="0" xfId="0" applyFont="1" applyFill="1" applyBorder="1" applyAlignment="1" applyProtection="1">
      <alignment horizontal="center" wrapText="1"/>
      <protection locked="0"/>
    </xf>
    <xf numFmtId="0" fontId="4" fillId="0" borderId="0" xfId="0" applyFont="1" applyFill="1" applyBorder="1" applyAlignment="1" applyProtection="1">
      <alignment horizontal="center"/>
      <protection locked="0"/>
    </xf>
    <xf numFmtId="0" fontId="4" fillId="0" borderId="0" xfId="0" applyFont="1" applyFill="1" applyBorder="1" applyAlignment="1" applyProtection="1">
      <alignment/>
      <protection locked="0"/>
    </xf>
    <xf numFmtId="0" fontId="6" fillId="0" borderId="0" xfId="0" applyFont="1" applyFill="1" applyBorder="1" applyAlignment="1" applyProtection="1">
      <alignment/>
      <protection locked="0"/>
    </xf>
    <xf numFmtId="0" fontId="5" fillId="0" borderId="10" xfId="0" applyFont="1" applyFill="1" applyBorder="1" applyAlignment="1" applyProtection="1">
      <alignment horizontal="right"/>
      <protection locked="0"/>
    </xf>
    <xf numFmtId="0" fontId="3" fillId="0" borderId="0" xfId="0" applyFont="1" applyFill="1" applyBorder="1" applyAlignment="1" applyProtection="1">
      <alignment/>
      <protection locked="0"/>
    </xf>
    <xf numFmtId="0" fontId="2" fillId="0" borderId="0" xfId="0" applyFont="1" applyFill="1" applyBorder="1" applyAlignment="1" applyProtection="1">
      <alignment horizontal="center"/>
      <protection locked="0"/>
    </xf>
    <xf numFmtId="0" fontId="2" fillId="0" borderId="0" xfId="0" applyFont="1" applyFill="1" applyBorder="1" applyAlignment="1" applyProtection="1">
      <alignment horizontal="right"/>
      <protection locked="0"/>
    </xf>
    <xf numFmtId="0" fontId="4" fillId="0" borderId="0" xfId="0" applyFont="1" applyFill="1" applyBorder="1" applyAlignment="1" applyProtection="1">
      <alignment horizontal="center" vertical="center" wrapText="1"/>
      <protection locked="0"/>
    </xf>
    <xf numFmtId="0" fontId="95" fillId="8" borderId="11" xfId="0" applyFont="1" applyFill="1" applyBorder="1" applyAlignment="1" applyProtection="1">
      <alignment/>
      <protection locked="0"/>
    </xf>
    <xf numFmtId="0" fontId="7" fillId="8" borderId="11" xfId="0" applyFont="1" applyFill="1" applyBorder="1" applyAlignment="1" applyProtection="1">
      <alignment horizontal="center"/>
      <protection locked="0"/>
    </xf>
    <xf numFmtId="0" fontId="96" fillId="0" borderId="0" xfId="0" applyFont="1" applyFill="1" applyBorder="1" applyAlignment="1" applyProtection="1">
      <alignment/>
      <protection locked="0"/>
    </xf>
    <xf numFmtId="0" fontId="9" fillId="8" borderId="12" xfId="0" applyFont="1" applyFill="1" applyBorder="1" applyAlignment="1">
      <alignment horizontal="center" vertical="center"/>
    </xf>
    <xf numFmtId="0" fontId="11" fillId="0" borderId="10" xfId="0" applyFont="1" applyFill="1" applyBorder="1" applyAlignment="1" applyProtection="1">
      <alignment horizontal="left" vertical="top" wrapText="1"/>
      <protection/>
    </xf>
    <xf numFmtId="0" fontId="11" fillId="0" borderId="13" xfId="0" applyFont="1" applyFill="1" applyBorder="1" applyAlignment="1" applyProtection="1">
      <alignment horizontal="left" vertical="top" wrapText="1"/>
      <protection/>
    </xf>
    <xf numFmtId="0" fontId="11" fillId="0" borderId="14" xfId="0" applyFont="1" applyFill="1" applyBorder="1" applyAlignment="1" applyProtection="1">
      <alignment horizontal="left" vertical="top" wrapText="1"/>
      <protection/>
    </xf>
    <xf numFmtId="0" fontId="9" fillId="8" borderId="15" xfId="0" applyFont="1" applyFill="1" applyBorder="1" applyAlignment="1">
      <alignment horizontal="center" vertical="center"/>
    </xf>
    <xf numFmtId="0" fontId="9" fillId="8" borderId="16" xfId="0" applyFont="1" applyFill="1" applyBorder="1" applyAlignment="1">
      <alignment horizontal="center" vertical="center"/>
    </xf>
    <xf numFmtId="0" fontId="7" fillId="8" borderId="17" xfId="0" applyFont="1" applyFill="1" applyBorder="1" applyAlignment="1" applyProtection="1">
      <alignment vertical="center"/>
      <protection locked="0"/>
    </xf>
    <xf numFmtId="0" fontId="2" fillId="0" borderId="0" xfId="0" applyFont="1" applyFill="1" applyBorder="1" applyAlignment="1" applyProtection="1">
      <alignment vertical="center"/>
      <protection locked="0"/>
    </xf>
    <xf numFmtId="0" fontId="7" fillId="0" borderId="0" xfId="0" applyFont="1" applyFill="1" applyBorder="1" applyAlignment="1" applyProtection="1">
      <alignment vertical="center"/>
      <protection locked="0"/>
    </xf>
    <xf numFmtId="0" fontId="97" fillId="33" borderId="0" xfId="0" applyFont="1" applyFill="1" applyBorder="1" applyAlignment="1" applyProtection="1">
      <alignment horizontal="left" vertical="top"/>
      <protection locked="0"/>
    </xf>
    <xf numFmtId="0" fontId="4" fillId="8" borderId="18" xfId="0" applyFont="1" applyFill="1" applyBorder="1" applyAlignment="1" applyProtection="1">
      <alignment horizontal="left" vertical="top" wrapText="1"/>
      <protection locked="0"/>
    </xf>
    <xf numFmtId="0" fontId="9" fillId="8" borderId="18" xfId="0" applyFont="1" applyFill="1" applyBorder="1" applyAlignment="1">
      <alignment horizontal="center" vertical="center"/>
    </xf>
    <xf numFmtId="0" fontId="11" fillId="0" borderId="19" xfId="0" applyFont="1" applyFill="1" applyBorder="1" applyAlignment="1" applyProtection="1">
      <alignment horizontal="left" vertical="top" wrapText="1"/>
      <protection/>
    </xf>
    <xf numFmtId="0" fontId="11" fillId="34" borderId="19" xfId="0" applyFont="1" applyFill="1" applyBorder="1" applyAlignment="1" applyProtection="1">
      <alignment horizontal="left" vertical="top" wrapText="1"/>
      <protection/>
    </xf>
    <xf numFmtId="0" fontId="11" fillId="0" borderId="11" xfId="0" applyFont="1" applyFill="1" applyBorder="1" applyAlignment="1" applyProtection="1">
      <alignment horizontal="left" vertical="top" wrapText="1"/>
      <protection/>
    </xf>
    <xf numFmtId="0" fontId="98" fillId="0" borderId="13" xfId="0" applyFont="1" applyFill="1" applyBorder="1" applyAlignment="1" applyProtection="1">
      <alignment horizontal="left" vertical="top" wrapText="1"/>
      <protection/>
    </xf>
    <xf numFmtId="0" fontId="98" fillId="0" borderId="10" xfId="0" applyFont="1" applyFill="1" applyBorder="1" applyAlignment="1" applyProtection="1">
      <alignment horizontal="left" vertical="top" wrapText="1"/>
      <protection/>
    </xf>
    <xf numFmtId="0" fontId="7" fillId="8" borderId="11" xfId="0" applyFont="1" applyFill="1" applyBorder="1" applyAlignment="1" applyProtection="1">
      <alignment horizontal="right"/>
      <protection locked="0"/>
    </xf>
    <xf numFmtId="0" fontId="97" fillId="0" borderId="0" xfId="0" applyFont="1" applyFill="1" applyBorder="1" applyAlignment="1" applyProtection="1">
      <alignment horizontal="left" vertical="top"/>
      <protection locked="0"/>
    </xf>
    <xf numFmtId="172" fontId="3" fillId="0" borderId="0" xfId="44" applyNumberFormat="1" applyFont="1" applyFill="1" applyBorder="1" applyAlignment="1" applyProtection="1">
      <alignment horizontal="right" wrapText="1"/>
      <protection locked="0"/>
    </xf>
    <xf numFmtId="172" fontId="3" fillId="0" borderId="0" xfId="44" applyNumberFormat="1" applyFont="1" applyFill="1" applyBorder="1" applyAlignment="1" applyProtection="1">
      <alignment horizontal="right"/>
      <protection locked="0"/>
    </xf>
    <xf numFmtId="172" fontId="5" fillId="2" borderId="10" xfId="44" applyNumberFormat="1" applyFont="1" applyFill="1" applyBorder="1" applyAlignment="1" applyProtection="1">
      <alignment horizontal="right"/>
      <protection locked="0"/>
    </xf>
    <xf numFmtId="172" fontId="2" fillId="0" borderId="0" xfId="44" applyNumberFormat="1" applyFont="1" applyFill="1" applyBorder="1" applyAlignment="1" applyProtection="1">
      <alignment horizontal="right" wrapText="1"/>
      <protection locked="0"/>
    </xf>
    <xf numFmtId="172" fontId="5" fillId="0" borderId="10" xfId="44" applyNumberFormat="1" applyFont="1" applyFill="1" applyBorder="1" applyAlignment="1" applyProtection="1">
      <alignment horizontal="right"/>
      <protection locked="0"/>
    </xf>
    <xf numFmtId="0" fontId="97" fillId="0" borderId="0" xfId="0" applyFont="1" applyFill="1" applyBorder="1" applyAlignment="1" applyProtection="1">
      <alignment/>
      <protection locked="0"/>
    </xf>
    <xf numFmtId="172" fontId="2" fillId="0" borderId="0" xfId="44" applyNumberFormat="1" applyFont="1" applyFill="1" applyBorder="1" applyAlignment="1" applyProtection="1">
      <alignment horizontal="right"/>
      <protection locked="0"/>
    </xf>
    <xf numFmtId="172" fontId="5" fillId="4" borderId="10" xfId="44" applyNumberFormat="1" applyFont="1" applyFill="1" applyBorder="1" applyAlignment="1" applyProtection="1">
      <alignment horizontal="right"/>
      <protection locked="0"/>
    </xf>
    <xf numFmtId="0" fontId="4" fillId="8" borderId="20" xfId="0" applyFont="1" applyFill="1" applyBorder="1" applyAlignment="1" applyProtection="1">
      <alignment horizontal="center" wrapText="1"/>
      <protection locked="0"/>
    </xf>
    <xf numFmtId="0" fontId="4" fillId="8" borderId="18" xfId="0" applyFont="1" applyFill="1" applyBorder="1" applyAlignment="1" applyProtection="1">
      <alignment horizontal="center" wrapText="1"/>
      <protection locked="0"/>
    </xf>
    <xf numFmtId="0" fontId="2" fillId="33" borderId="0" xfId="0" applyFont="1" applyFill="1" applyBorder="1" applyAlignment="1" applyProtection="1">
      <alignment/>
      <protection locked="0"/>
    </xf>
    <xf numFmtId="0" fontId="97" fillId="33" borderId="0" xfId="0" applyFont="1" applyFill="1" applyBorder="1" applyAlignment="1" applyProtection="1">
      <alignment/>
      <protection locked="0"/>
    </xf>
    <xf numFmtId="0" fontId="2" fillId="33" borderId="0" xfId="0" applyFont="1" applyFill="1" applyBorder="1" applyAlignment="1" applyProtection="1">
      <alignment horizontal="center"/>
      <protection locked="0"/>
    </xf>
    <xf numFmtId="172" fontId="2" fillId="33" borderId="0" xfId="44" applyNumberFormat="1" applyFont="1" applyFill="1" applyBorder="1" applyAlignment="1" applyProtection="1">
      <alignment horizontal="right"/>
      <protection locked="0"/>
    </xf>
    <xf numFmtId="0" fontId="2" fillId="33" borderId="0" xfId="0" applyFont="1" applyFill="1" applyBorder="1" applyAlignment="1" applyProtection="1">
      <alignment horizontal="right"/>
      <protection locked="0"/>
    </xf>
    <xf numFmtId="0" fontId="3" fillId="33" borderId="0" xfId="0" applyFont="1" applyFill="1" applyBorder="1" applyAlignment="1" applyProtection="1">
      <alignment horizontal="right"/>
      <protection locked="0"/>
    </xf>
    <xf numFmtId="172" fontId="3" fillId="33" borderId="0" xfId="44" applyNumberFormat="1" applyFont="1" applyFill="1" applyBorder="1" applyAlignment="1" applyProtection="1">
      <alignment horizontal="right"/>
      <protection locked="0"/>
    </xf>
    <xf numFmtId="172" fontId="3" fillId="33" borderId="0" xfId="44" applyNumberFormat="1" applyFont="1" applyFill="1" applyBorder="1" applyAlignment="1" applyProtection="1">
      <alignment horizontal="right" wrapText="1"/>
      <protection locked="0"/>
    </xf>
    <xf numFmtId="172" fontId="2" fillId="33" borderId="0" xfId="44" applyNumberFormat="1" applyFont="1" applyFill="1" applyBorder="1" applyAlignment="1" applyProtection="1">
      <alignment horizontal="right" wrapText="1"/>
      <protection locked="0"/>
    </xf>
    <xf numFmtId="0" fontId="5" fillId="33" borderId="0" xfId="0" applyFont="1" applyFill="1" applyBorder="1" applyAlignment="1">
      <alignment wrapText="1"/>
    </xf>
    <xf numFmtId="0" fontId="2" fillId="33" borderId="0" xfId="0" applyFont="1" applyFill="1" applyBorder="1" applyAlignment="1" applyProtection="1">
      <alignment vertical="center"/>
      <protection locked="0"/>
    </xf>
    <xf numFmtId="0" fontId="5" fillId="33" borderId="0" xfId="0" applyFont="1" applyFill="1" applyBorder="1" applyAlignment="1">
      <alignment vertical="center" wrapText="1"/>
    </xf>
    <xf numFmtId="0" fontId="7" fillId="33" borderId="0" xfId="0" applyFont="1" applyFill="1" applyBorder="1" applyAlignment="1" applyProtection="1">
      <alignment vertical="center"/>
      <protection locked="0"/>
    </xf>
    <xf numFmtId="172" fontId="5" fillId="34" borderId="10" xfId="44" applyNumberFormat="1" applyFont="1" applyFill="1" applyBorder="1" applyAlignment="1" applyProtection="1">
      <alignment horizontal="right"/>
      <protection locked="0"/>
    </xf>
    <xf numFmtId="172" fontId="5" fillId="33" borderId="0" xfId="44" applyNumberFormat="1" applyFont="1" applyFill="1" applyBorder="1" applyAlignment="1" applyProtection="1">
      <alignment horizontal="right" wrapText="1"/>
      <protection locked="0"/>
    </xf>
    <xf numFmtId="172" fontId="5" fillId="0" borderId="0" xfId="44" applyNumberFormat="1" applyFont="1" applyFill="1" applyBorder="1" applyAlignment="1" applyProtection="1">
      <alignment horizontal="right" wrapText="1"/>
      <protection locked="0"/>
    </xf>
    <xf numFmtId="0" fontId="97" fillId="33" borderId="0" xfId="0" applyFont="1" applyFill="1" applyBorder="1" applyAlignment="1" applyProtection="1">
      <alignment horizontal="left"/>
      <protection locked="0"/>
    </xf>
    <xf numFmtId="0" fontId="97" fillId="0" borderId="0" xfId="0" applyFont="1" applyFill="1" applyBorder="1" applyAlignment="1" applyProtection="1">
      <alignment horizontal="left"/>
      <protection locked="0"/>
    </xf>
    <xf numFmtId="172" fontId="5" fillId="34" borderId="21" xfId="44" applyNumberFormat="1" applyFont="1" applyFill="1" applyBorder="1" applyAlignment="1" applyProtection="1">
      <alignment horizontal="center" wrapText="1"/>
      <protection locked="0"/>
    </xf>
    <xf numFmtId="0" fontId="5" fillId="0" borderId="0" xfId="0" applyFont="1" applyFill="1" applyBorder="1" applyAlignment="1" applyProtection="1">
      <alignment horizontal="center" wrapText="1"/>
      <protection locked="0"/>
    </xf>
    <xf numFmtId="172" fontId="5" fillId="8" borderId="15" xfId="44" applyNumberFormat="1" applyFont="1" applyFill="1" applyBorder="1" applyAlignment="1" applyProtection="1">
      <alignment horizontal="center" wrapText="1"/>
      <protection locked="0"/>
    </xf>
    <xf numFmtId="172" fontId="5" fillId="34" borderId="11" xfId="44" applyNumberFormat="1" applyFont="1" applyFill="1" applyBorder="1" applyAlignment="1" applyProtection="1">
      <alignment horizontal="right"/>
      <protection locked="0"/>
    </xf>
    <xf numFmtId="0" fontId="99" fillId="0" borderId="0" xfId="0" applyFont="1" applyFill="1" applyBorder="1" applyAlignment="1" applyProtection="1">
      <alignment/>
      <protection locked="0"/>
    </xf>
    <xf numFmtId="0" fontId="5" fillId="0" borderId="0" xfId="0" applyFont="1" applyFill="1" applyBorder="1" applyAlignment="1" applyProtection="1">
      <alignment horizontal="center"/>
      <protection locked="0"/>
    </xf>
    <xf numFmtId="0" fontId="5" fillId="0" borderId="0" xfId="0" applyFont="1" applyFill="1" applyBorder="1" applyAlignment="1" applyProtection="1">
      <alignment horizontal="center" vertical="center" wrapText="1"/>
      <protection locked="0"/>
    </xf>
    <xf numFmtId="172" fontId="5" fillId="34" borderId="14" xfId="44" applyNumberFormat="1" applyFont="1" applyFill="1" applyBorder="1" applyAlignment="1" applyProtection="1">
      <alignment horizontal="right"/>
      <protection locked="0"/>
    </xf>
    <xf numFmtId="172" fontId="5" fillId="0" borderId="14" xfId="44" applyNumberFormat="1" applyFont="1" applyFill="1" applyBorder="1" applyAlignment="1" applyProtection="1">
      <alignment horizontal="right"/>
      <protection locked="0"/>
    </xf>
    <xf numFmtId="172" fontId="5" fillId="4" borderId="14" xfId="44" applyNumberFormat="1" applyFont="1" applyFill="1" applyBorder="1" applyAlignment="1" applyProtection="1">
      <alignment horizontal="right"/>
      <protection locked="0"/>
    </xf>
    <xf numFmtId="172" fontId="5" fillId="0" borderId="14" xfId="44" applyNumberFormat="1" applyFont="1" applyFill="1" applyBorder="1" applyAlignment="1" applyProtection="1">
      <alignment vertical="center"/>
      <protection locked="0"/>
    </xf>
    <xf numFmtId="172" fontId="5" fillId="34" borderId="22" xfId="44" applyNumberFormat="1" applyFont="1" applyFill="1" applyBorder="1" applyAlignment="1" applyProtection="1">
      <alignment vertical="center"/>
      <protection locked="0"/>
    </xf>
    <xf numFmtId="172" fontId="5" fillId="0" borderId="15" xfId="44" applyNumberFormat="1" applyFont="1" applyFill="1" applyBorder="1" applyAlignment="1" applyProtection="1">
      <alignment vertical="center"/>
      <protection locked="0"/>
    </xf>
    <xf numFmtId="172" fontId="5" fillId="0" borderId="10" xfId="44" applyNumberFormat="1" applyFont="1" applyFill="1" applyBorder="1" applyAlignment="1" applyProtection="1">
      <alignment vertical="center"/>
      <protection locked="0"/>
    </xf>
    <xf numFmtId="172" fontId="5" fillId="0" borderId="21" xfId="44" applyNumberFormat="1" applyFont="1" applyFill="1" applyBorder="1" applyAlignment="1" applyProtection="1">
      <alignment vertical="center"/>
      <protection locked="0"/>
    </xf>
    <xf numFmtId="0" fontId="5" fillId="0" borderId="0" xfId="0" applyFont="1" applyFill="1" applyBorder="1" applyAlignment="1" applyProtection="1">
      <alignment/>
      <protection locked="0"/>
    </xf>
    <xf numFmtId="0" fontId="3" fillId="0" borderId="23" xfId="0" applyFont="1" applyFill="1" applyBorder="1" applyAlignment="1" applyProtection="1">
      <alignment wrapText="1"/>
      <protection locked="0"/>
    </xf>
    <xf numFmtId="0" fontId="3" fillId="4" borderId="23" xfId="0" applyFont="1" applyFill="1" applyBorder="1" applyAlignment="1" applyProtection="1">
      <alignment wrapText="1"/>
      <protection locked="0"/>
    </xf>
    <xf numFmtId="0" fontId="3" fillId="34" borderId="23" xfId="0" applyFont="1" applyFill="1" applyBorder="1" applyAlignment="1" applyProtection="1">
      <alignment wrapText="1"/>
      <protection locked="0"/>
    </xf>
    <xf numFmtId="0" fontId="5" fillId="34" borderId="23" xfId="0" applyFont="1" applyFill="1" applyBorder="1" applyAlignment="1" applyProtection="1">
      <alignment wrapText="1"/>
      <protection locked="0"/>
    </xf>
    <xf numFmtId="172" fontId="5" fillId="0" borderId="11" xfId="44" applyNumberFormat="1" applyFont="1" applyFill="1" applyBorder="1" applyAlignment="1" applyProtection="1">
      <alignment vertical="center"/>
      <protection locked="0"/>
    </xf>
    <xf numFmtId="172" fontId="5" fillId="0" borderId="11" xfId="44" applyNumberFormat="1" applyFont="1" applyFill="1" applyBorder="1" applyAlignment="1" applyProtection="1">
      <alignment horizontal="right"/>
      <protection locked="0"/>
    </xf>
    <xf numFmtId="172" fontId="5" fillId="4" borderId="11" xfId="44" applyNumberFormat="1" applyFont="1" applyFill="1" applyBorder="1" applyAlignment="1" applyProtection="1">
      <alignment horizontal="right"/>
      <protection locked="0"/>
    </xf>
    <xf numFmtId="0" fontId="5" fillId="0" borderId="24" xfId="0" applyFont="1" applyFill="1" applyBorder="1" applyAlignment="1" applyProtection="1">
      <alignment/>
      <protection locked="0"/>
    </xf>
    <xf numFmtId="172" fontId="5" fillId="0" borderId="13" xfId="44" applyNumberFormat="1" applyFont="1" applyFill="1" applyBorder="1" applyAlignment="1" applyProtection="1">
      <alignment horizontal="right"/>
      <protection locked="0"/>
    </xf>
    <xf numFmtId="172" fontId="5" fillId="34" borderId="13" xfId="44" applyNumberFormat="1" applyFont="1" applyFill="1" applyBorder="1" applyAlignment="1" applyProtection="1">
      <alignment horizontal="right"/>
      <protection locked="0"/>
    </xf>
    <xf numFmtId="172" fontId="5" fillId="4" borderId="13" xfId="44" applyNumberFormat="1" applyFont="1" applyFill="1" applyBorder="1" applyAlignment="1" applyProtection="1">
      <alignment horizontal="right"/>
      <protection locked="0"/>
    </xf>
    <xf numFmtId="172" fontId="5" fillId="0" borderId="13" xfId="44" applyNumberFormat="1" applyFont="1" applyFill="1" applyBorder="1" applyAlignment="1" applyProtection="1">
      <alignment vertical="center"/>
      <protection locked="0"/>
    </xf>
    <xf numFmtId="172" fontId="5" fillId="33" borderId="14" xfId="44" applyNumberFormat="1" applyFont="1" applyFill="1" applyBorder="1" applyAlignment="1" applyProtection="1">
      <alignment horizontal="right"/>
      <protection locked="0"/>
    </xf>
    <xf numFmtId="0" fontId="3" fillId="0" borderId="12" xfId="0" applyFont="1" applyFill="1" applyBorder="1" applyAlignment="1" applyProtection="1">
      <alignment wrapText="1"/>
      <protection locked="0"/>
    </xf>
    <xf numFmtId="0" fontId="3" fillId="4" borderId="12" xfId="0" applyFont="1" applyFill="1" applyBorder="1" applyAlignment="1" applyProtection="1">
      <alignment wrapText="1"/>
      <protection locked="0"/>
    </xf>
    <xf numFmtId="0" fontId="3" fillId="34" borderId="12" xfId="0" applyFont="1" applyFill="1" applyBorder="1" applyAlignment="1" applyProtection="1">
      <alignment wrapText="1"/>
      <protection locked="0"/>
    </xf>
    <xf numFmtId="0" fontId="5" fillId="34" borderId="12" xfId="0" applyFont="1" applyFill="1" applyBorder="1" applyAlignment="1" applyProtection="1">
      <alignment wrapText="1"/>
      <protection locked="0"/>
    </xf>
    <xf numFmtId="172" fontId="5" fillId="0" borderId="19" xfId="44" applyNumberFormat="1" applyFont="1" applyFill="1" applyBorder="1" applyAlignment="1" applyProtection="1">
      <alignment horizontal="right"/>
      <protection locked="0"/>
    </xf>
    <xf numFmtId="172" fontId="5" fillId="34" borderId="19" xfId="44" applyNumberFormat="1" applyFont="1" applyFill="1" applyBorder="1" applyAlignment="1" applyProtection="1">
      <alignment horizontal="right"/>
      <protection locked="0"/>
    </xf>
    <xf numFmtId="172" fontId="5" fillId="4" borderId="19" xfId="44" applyNumberFormat="1" applyFont="1" applyFill="1" applyBorder="1" applyAlignment="1" applyProtection="1">
      <alignment horizontal="right"/>
      <protection locked="0"/>
    </xf>
    <xf numFmtId="172" fontId="5" fillId="0" borderId="19" xfId="44" applyNumberFormat="1" applyFont="1" applyFill="1" applyBorder="1" applyAlignment="1" applyProtection="1">
      <alignment vertical="center"/>
      <protection locked="0"/>
    </xf>
    <xf numFmtId="172" fontId="5" fillId="0" borderId="25" xfId="44" applyNumberFormat="1" applyFont="1" applyFill="1" applyBorder="1" applyAlignment="1" applyProtection="1">
      <alignment vertical="center"/>
      <protection locked="0"/>
    </xf>
    <xf numFmtId="0" fontId="100" fillId="33" borderId="10" xfId="0" applyFont="1" applyFill="1" applyBorder="1" applyAlignment="1" applyProtection="1">
      <alignment horizontal="right"/>
      <protection locked="0"/>
    </xf>
    <xf numFmtId="0" fontId="5" fillId="8" borderId="12" xfId="0" applyFont="1" applyFill="1" applyBorder="1" applyAlignment="1">
      <alignment horizontal="center" vertical="center"/>
    </xf>
    <xf numFmtId="0" fontId="5" fillId="34" borderId="12" xfId="0" applyFont="1" applyFill="1" applyBorder="1" applyAlignment="1">
      <alignment horizontal="center" vertical="center"/>
    </xf>
    <xf numFmtId="0" fontId="5" fillId="34" borderId="16" xfId="0" applyFont="1" applyFill="1" applyBorder="1" applyAlignment="1">
      <alignment horizontal="center" vertical="center"/>
    </xf>
    <xf numFmtId="0" fontId="5" fillId="8" borderId="15" xfId="0" applyFont="1" applyFill="1" applyBorder="1" applyAlignment="1">
      <alignment horizontal="center" vertical="center"/>
    </xf>
    <xf numFmtId="0" fontId="5" fillId="8" borderId="16" xfId="0" applyFont="1" applyFill="1" applyBorder="1" applyAlignment="1">
      <alignment horizontal="center" vertical="center"/>
    </xf>
    <xf numFmtId="0" fontId="3" fillId="0" borderId="14" xfId="0" applyFont="1" applyFill="1" applyBorder="1" applyAlignment="1" applyProtection="1">
      <alignment horizontal="left" vertical="top" wrapText="1"/>
      <protection/>
    </xf>
    <xf numFmtId="0" fontId="3" fillId="0" borderId="10" xfId="0" applyFont="1" applyFill="1" applyBorder="1" applyAlignment="1" applyProtection="1">
      <alignment horizontal="left" vertical="top" wrapText="1"/>
      <protection/>
    </xf>
    <xf numFmtId="0" fontId="101" fillId="0" borderId="11" xfId="0" applyFont="1" applyBorder="1" applyAlignment="1">
      <alignment wrapText="1"/>
    </xf>
    <xf numFmtId="0" fontId="101" fillId="0" borderId="0" xfId="0" applyFont="1" applyBorder="1" applyAlignment="1">
      <alignment wrapText="1"/>
    </xf>
    <xf numFmtId="0" fontId="3" fillId="0" borderId="11" xfId="0" applyFont="1" applyFill="1" applyBorder="1" applyAlignment="1" applyProtection="1">
      <alignment horizontal="left" vertical="top" wrapText="1"/>
      <protection/>
    </xf>
    <xf numFmtId="0" fontId="102" fillId="34" borderId="14" xfId="0" applyFont="1" applyFill="1" applyBorder="1" applyAlignment="1">
      <alignment wrapText="1"/>
    </xf>
    <xf numFmtId="0" fontId="102" fillId="0" borderId="14" xfId="0" applyFont="1" applyBorder="1" applyAlignment="1">
      <alignment wrapText="1"/>
    </xf>
    <xf numFmtId="0" fontId="101" fillId="0" borderId="14" xfId="0" applyFont="1" applyFill="1" applyBorder="1" applyAlignment="1" applyProtection="1">
      <alignment horizontal="left" vertical="top" wrapText="1"/>
      <protection/>
    </xf>
    <xf numFmtId="0" fontId="3" fillId="0" borderId="13" xfId="0" applyFont="1" applyFill="1" applyBorder="1" applyAlignment="1" applyProtection="1">
      <alignment horizontal="left" vertical="top" wrapText="1"/>
      <protection/>
    </xf>
    <xf numFmtId="0" fontId="101" fillId="0" borderId="10" xfId="0" applyFont="1" applyFill="1" applyBorder="1" applyAlignment="1" applyProtection="1">
      <alignment horizontal="left" vertical="top" wrapText="1"/>
      <protection/>
    </xf>
    <xf numFmtId="0" fontId="102" fillId="0" borderId="0" xfId="0" applyFont="1" applyAlignment="1">
      <alignment wrapText="1"/>
    </xf>
    <xf numFmtId="0" fontId="3" fillId="0" borderId="26" xfId="0" applyFont="1" applyFill="1" applyBorder="1" applyAlignment="1" applyProtection="1">
      <alignment horizontal="center" vertical="top" wrapText="1"/>
      <protection/>
    </xf>
    <xf numFmtId="0" fontId="3" fillId="0" borderId="27" xfId="0" applyFont="1" applyFill="1" applyBorder="1" applyAlignment="1" applyProtection="1">
      <alignment horizontal="left" vertical="top" wrapText="1"/>
      <protection/>
    </xf>
    <xf numFmtId="0" fontId="3" fillId="0" borderId="28" xfId="0" applyFont="1" applyFill="1" applyBorder="1" applyAlignment="1" applyProtection="1">
      <alignment horizontal="left" vertical="top" wrapText="1"/>
      <protection/>
    </xf>
    <xf numFmtId="0" fontId="3" fillId="0" borderId="12" xfId="0" applyFont="1" applyFill="1" applyBorder="1" applyAlignment="1" applyProtection="1">
      <alignment horizontal="left" vertical="top" wrapText="1"/>
      <protection/>
    </xf>
    <xf numFmtId="0" fontId="3" fillId="0" borderId="13" xfId="0" applyFont="1" applyFill="1" applyBorder="1" applyAlignment="1" applyProtection="1">
      <alignment horizontal="center" vertical="top" wrapText="1"/>
      <protection/>
    </xf>
    <xf numFmtId="172" fontId="5" fillId="35" borderId="14" xfId="44" applyNumberFormat="1" applyFont="1" applyFill="1" applyBorder="1" applyAlignment="1" applyProtection="1">
      <alignment horizontal="right"/>
      <protection locked="0"/>
    </xf>
    <xf numFmtId="0" fontId="95" fillId="36" borderId="10" xfId="0" applyFont="1" applyFill="1" applyBorder="1" applyAlignment="1" applyProtection="1">
      <alignment/>
      <protection locked="0"/>
    </xf>
    <xf numFmtId="0" fontId="7" fillId="36" borderId="10" xfId="0" applyFont="1" applyFill="1" applyBorder="1" applyAlignment="1" applyProtection="1">
      <alignment horizontal="center"/>
      <protection locked="0"/>
    </xf>
    <xf numFmtId="172" fontId="7" fillId="36" borderId="10" xfId="44" applyNumberFormat="1" applyFont="1" applyFill="1" applyBorder="1" applyAlignment="1" applyProtection="1">
      <alignment horizontal="right" wrapText="1"/>
      <protection locked="0"/>
    </xf>
    <xf numFmtId="0" fontId="3" fillId="0" borderId="29" xfId="0" applyFont="1" applyFill="1" applyBorder="1" applyAlignment="1" applyProtection="1">
      <alignment horizontal="left" vertical="top" wrapText="1"/>
      <protection/>
    </xf>
    <xf numFmtId="0" fontId="101" fillId="0" borderId="11" xfId="0" applyFont="1" applyFill="1" applyBorder="1" applyAlignment="1" applyProtection="1">
      <alignment horizontal="left" vertical="top" wrapText="1"/>
      <protection/>
    </xf>
    <xf numFmtId="0" fontId="2" fillId="33" borderId="0" xfId="0" applyFont="1" applyFill="1" applyBorder="1" applyAlignment="1" applyProtection="1">
      <alignment horizontal="center" vertical="center"/>
      <protection locked="0"/>
    </xf>
    <xf numFmtId="172" fontId="5" fillId="2" borderId="14" xfId="44" applyNumberFormat="1" applyFont="1" applyFill="1" applyBorder="1" applyAlignment="1" applyProtection="1">
      <alignment horizontal="right"/>
      <protection locked="0"/>
    </xf>
    <xf numFmtId="0" fontId="5" fillId="2" borderId="14" xfId="0" applyFont="1" applyFill="1" applyBorder="1" applyAlignment="1" applyProtection="1">
      <alignment horizontal="right"/>
      <protection locked="0"/>
    </xf>
    <xf numFmtId="172" fontId="5" fillId="34" borderId="14" xfId="0" applyNumberFormat="1" applyFont="1" applyFill="1" applyBorder="1" applyAlignment="1" applyProtection="1">
      <alignment horizontal="right"/>
      <protection locked="0"/>
    </xf>
    <xf numFmtId="0" fontId="5" fillId="0" borderId="14" xfId="0" applyFont="1" applyFill="1" applyBorder="1" applyAlignment="1" applyProtection="1">
      <alignment horizontal="right"/>
      <protection locked="0"/>
    </xf>
    <xf numFmtId="172" fontId="5" fillId="2" borderId="13" xfId="44" applyNumberFormat="1" applyFont="1" applyFill="1" applyBorder="1" applyAlignment="1" applyProtection="1">
      <alignment horizontal="right"/>
      <protection locked="0"/>
    </xf>
    <xf numFmtId="0" fontId="5" fillId="2" borderId="13" xfId="0" applyFont="1" applyFill="1" applyBorder="1" applyAlignment="1" applyProtection="1">
      <alignment horizontal="right"/>
      <protection locked="0"/>
    </xf>
    <xf numFmtId="0" fontId="3" fillId="0" borderId="10" xfId="0" applyFont="1" applyFill="1" applyBorder="1" applyAlignment="1" applyProtection="1">
      <alignment horizontal="left" vertical="center" wrapText="1"/>
      <protection/>
    </xf>
    <xf numFmtId="172" fontId="5" fillId="2" borderId="11" xfId="44" applyNumberFormat="1" applyFont="1" applyFill="1" applyBorder="1" applyAlignment="1" applyProtection="1">
      <alignment horizontal="right"/>
      <protection locked="0"/>
    </xf>
    <xf numFmtId="0" fontId="3" fillId="2" borderId="23" xfId="0" applyFont="1" applyFill="1" applyBorder="1" applyAlignment="1" applyProtection="1">
      <alignment wrapText="1"/>
      <protection locked="0"/>
    </xf>
    <xf numFmtId="0" fontId="5" fillId="0" borderId="11" xfId="0" applyFont="1" applyFill="1" applyBorder="1" applyAlignment="1" applyProtection="1">
      <alignment horizontal="right"/>
      <protection locked="0"/>
    </xf>
    <xf numFmtId="0" fontId="5" fillId="0" borderId="23" xfId="0" applyFont="1" applyFill="1" applyBorder="1" applyAlignment="1" applyProtection="1">
      <alignment horizontal="right"/>
      <protection locked="0"/>
    </xf>
    <xf numFmtId="0" fontId="5" fillId="2" borderId="11" xfId="0" applyFont="1" applyFill="1" applyBorder="1" applyAlignment="1" applyProtection="1">
      <alignment horizontal="right"/>
      <protection locked="0"/>
    </xf>
    <xf numFmtId="0" fontId="5" fillId="0" borderId="23" xfId="0" applyFont="1" applyFill="1" applyBorder="1" applyAlignment="1" applyProtection="1">
      <alignment wrapText="1"/>
      <protection locked="0"/>
    </xf>
    <xf numFmtId="0" fontId="5" fillId="0" borderId="13" xfId="0" applyFont="1" applyFill="1" applyBorder="1" applyAlignment="1" applyProtection="1">
      <alignment horizontal="right"/>
      <protection locked="0"/>
    </xf>
    <xf numFmtId="172" fontId="5" fillId="2" borderId="19" xfId="44" applyNumberFormat="1" applyFont="1" applyFill="1" applyBorder="1" applyAlignment="1" applyProtection="1">
      <alignment horizontal="right"/>
      <protection locked="0"/>
    </xf>
    <xf numFmtId="0" fontId="5" fillId="0" borderId="12" xfId="0" applyFont="1" applyFill="1" applyBorder="1" applyAlignment="1" applyProtection="1">
      <alignment horizontal="right"/>
      <protection locked="0"/>
    </xf>
    <xf numFmtId="0" fontId="3" fillId="2" borderId="12" xfId="0" applyFont="1" applyFill="1" applyBorder="1" applyAlignment="1" applyProtection="1">
      <alignment wrapText="1"/>
      <protection locked="0"/>
    </xf>
    <xf numFmtId="0" fontId="2" fillId="0" borderId="0" xfId="0" applyFont="1" applyFill="1" applyBorder="1" applyAlignment="1" applyProtection="1">
      <alignment horizontal="center" vertical="center"/>
      <protection locked="0"/>
    </xf>
    <xf numFmtId="0" fontId="10" fillId="33" borderId="30" xfId="0" applyFont="1" applyFill="1" applyBorder="1" applyAlignment="1">
      <alignment vertical="center" wrapText="1"/>
    </xf>
    <xf numFmtId="0" fontId="96" fillId="33" borderId="0" xfId="0" applyFont="1" applyFill="1" applyBorder="1" applyAlignment="1" applyProtection="1">
      <alignment/>
      <protection locked="0"/>
    </xf>
    <xf numFmtId="0" fontId="4" fillId="33" borderId="0" xfId="0" applyFont="1" applyFill="1" applyBorder="1" applyAlignment="1" applyProtection="1">
      <alignment horizontal="center"/>
      <protection locked="0"/>
    </xf>
    <xf numFmtId="0" fontId="4" fillId="33" borderId="0" xfId="0" applyFont="1" applyFill="1" applyBorder="1" applyAlignment="1" applyProtection="1">
      <alignment horizontal="center" wrapText="1"/>
      <protection locked="0"/>
    </xf>
    <xf numFmtId="0" fontId="4" fillId="33" borderId="0" xfId="0" applyFont="1" applyFill="1" applyBorder="1" applyAlignment="1" applyProtection="1">
      <alignment horizontal="center" vertical="center" wrapText="1"/>
      <protection locked="0"/>
    </xf>
    <xf numFmtId="0" fontId="4" fillId="33" borderId="0" xfId="0" applyFont="1" applyFill="1" applyBorder="1" applyAlignment="1" applyProtection="1">
      <alignment/>
      <protection locked="0"/>
    </xf>
    <xf numFmtId="0" fontId="6" fillId="33" borderId="0" xfId="0" applyFont="1" applyFill="1" applyBorder="1" applyAlignment="1" applyProtection="1">
      <alignment/>
      <protection locked="0"/>
    </xf>
    <xf numFmtId="0" fontId="3" fillId="33" borderId="0" xfId="0" applyFont="1" applyFill="1" applyBorder="1" applyAlignment="1" applyProtection="1">
      <alignment/>
      <protection locked="0"/>
    </xf>
    <xf numFmtId="0" fontId="7" fillId="33" borderId="0" xfId="0" applyFont="1" applyFill="1" applyBorder="1" applyAlignment="1" applyProtection="1">
      <alignment horizontal="left"/>
      <protection locked="0"/>
    </xf>
    <xf numFmtId="0" fontId="13" fillId="33" borderId="0" xfId="0" applyFont="1" applyFill="1" applyBorder="1" applyAlignment="1" applyProtection="1">
      <alignment/>
      <protection locked="0"/>
    </xf>
    <xf numFmtId="0" fontId="11" fillId="0" borderId="31" xfId="0" applyFont="1" applyFill="1" applyBorder="1" applyAlignment="1" applyProtection="1">
      <alignment horizontal="left" vertical="top" wrapText="1"/>
      <protection/>
    </xf>
    <xf numFmtId="0" fontId="4" fillId="8" borderId="0" xfId="0" applyFont="1" applyFill="1" applyBorder="1" applyAlignment="1" applyProtection="1">
      <alignment horizontal="center" vertical="center" wrapText="1"/>
      <protection locked="0"/>
    </xf>
    <xf numFmtId="0" fontId="5" fillId="0" borderId="26" xfId="58" applyFont="1" applyFill="1" applyBorder="1" applyAlignment="1" applyProtection="1">
      <alignment horizontal="center" vertical="center" wrapText="1"/>
      <protection/>
    </xf>
    <xf numFmtId="0" fontId="5" fillId="2" borderId="19" xfId="0" applyFont="1" applyFill="1" applyBorder="1" applyAlignment="1" applyProtection="1">
      <alignment horizontal="right"/>
      <protection locked="0"/>
    </xf>
    <xf numFmtId="0" fontId="5" fillId="0" borderId="19" xfId="0" applyFont="1" applyFill="1" applyBorder="1" applyAlignment="1" applyProtection="1">
      <alignment horizontal="right"/>
      <protection locked="0"/>
    </xf>
    <xf numFmtId="0" fontId="11" fillId="0" borderId="32" xfId="0" applyFont="1" applyFill="1" applyBorder="1" applyAlignment="1" applyProtection="1">
      <alignment vertical="center" wrapText="1"/>
      <protection/>
    </xf>
    <xf numFmtId="172" fontId="5" fillId="8" borderId="21" xfId="44" applyNumberFormat="1" applyFont="1" applyFill="1" applyBorder="1" applyAlignment="1" applyProtection="1">
      <alignment horizontal="center" wrapText="1"/>
      <protection locked="0"/>
    </xf>
    <xf numFmtId="172" fontId="4" fillId="8" borderId="15" xfId="44" applyNumberFormat="1" applyFont="1" applyFill="1" applyBorder="1" applyAlignment="1" applyProtection="1">
      <alignment horizontal="center" wrapText="1"/>
      <protection locked="0"/>
    </xf>
    <xf numFmtId="172" fontId="4" fillId="8" borderId="10" xfId="44" applyNumberFormat="1" applyFont="1" applyFill="1" applyBorder="1" applyAlignment="1" applyProtection="1">
      <alignment horizontal="center" wrapText="1"/>
      <protection locked="0"/>
    </xf>
    <xf numFmtId="172" fontId="4" fillId="8" borderId="21" xfId="44" applyNumberFormat="1" applyFont="1" applyFill="1" applyBorder="1" applyAlignment="1" applyProtection="1">
      <alignment horizontal="center" wrapText="1"/>
      <protection locked="0"/>
    </xf>
    <xf numFmtId="0" fontId="5" fillId="8" borderId="18" xfId="0" applyFont="1" applyFill="1" applyBorder="1" applyAlignment="1" applyProtection="1">
      <alignment horizontal="center" wrapText="1"/>
      <protection locked="0"/>
    </xf>
    <xf numFmtId="0" fontId="9" fillId="8" borderId="33" xfId="0" applyFont="1" applyFill="1" applyBorder="1" applyAlignment="1">
      <alignment horizontal="center" vertical="center"/>
    </xf>
    <xf numFmtId="172" fontId="5" fillId="34" borderId="10" xfId="0" applyNumberFormat="1" applyFont="1" applyFill="1" applyBorder="1" applyAlignment="1" applyProtection="1">
      <alignment horizontal="right"/>
      <protection locked="0"/>
    </xf>
    <xf numFmtId="172" fontId="5" fillId="0" borderId="34" xfId="44" applyNumberFormat="1" applyFont="1" applyFill="1" applyBorder="1" applyAlignment="1" applyProtection="1">
      <alignment vertical="center"/>
      <protection locked="0"/>
    </xf>
    <xf numFmtId="172" fontId="5" fillId="34" borderId="21" xfId="44" applyNumberFormat="1" applyFont="1" applyFill="1" applyBorder="1" applyAlignment="1" applyProtection="1">
      <alignment vertical="center"/>
      <protection locked="0"/>
    </xf>
    <xf numFmtId="172" fontId="4" fillId="0" borderId="15" xfId="44" applyNumberFormat="1" applyFont="1" applyFill="1" applyBorder="1" applyAlignment="1" applyProtection="1">
      <alignment vertical="center"/>
      <protection locked="0"/>
    </xf>
    <xf numFmtId="172" fontId="4" fillId="0" borderId="10" xfId="44" applyNumberFormat="1" applyFont="1" applyFill="1" applyBorder="1" applyAlignment="1" applyProtection="1">
      <alignment vertical="center"/>
      <protection locked="0"/>
    </xf>
    <xf numFmtId="172" fontId="4" fillId="0" borderId="21" xfId="44" applyNumberFormat="1" applyFont="1" applyFill="1" applyBorder="1" applyAlignment="1" applyProtection="1">
      <alignment vertical="center"/>
      <protection locked="0"/>
    </xf>
    <xf numFmtId="0" fontId="11" fillId="37" borderId="10" xfId="0" applyFont="1" applyFill="1" applyBorder="1" applyAlignment="1" applyProtection="1">
      <alignment horizontal="left" vertical="top" wrapText="1"/>
      <protection/>
    </xf>
    <xf numFmtId="43" fontId="5" fillId="0" borderId="10" xfId="44" applyFont="1" applyFill="1" applyBorder="1" applyAlignment="1" applyProtection="1">
      <alignment vertical="center"/>
      <protection locked="0"/>
    </xf>
    <xf numFmtId="0" fontId="5" fillId="2" borderId="18" xfId="0" applyFont="1" applyFill="1" applyBorder="1" applyAlignment="1" applyProtection="1">
      <alignment horizontal="right"/>
      <protection locked="0"/>
    </xf>
    <xf numFmtId="172" fontId="5" fillId="0" borderId="18" xfId="44" applyNumberFormat="1" applyFont="1" applyFill="1" applyBorder="1" applyAlignment="1" applyProtection="1">
      <alignment horizontal="right"/>
      <protection locked="0"/>
    </xf>
    <xf numFmtId="172" fontId="5" fillId="4" borderId="18" xfId="44" applyNumberFormat="1" applyFont="1" applyFill="1" applyBorder="1" applyAlignment="1" applyProtection="1">
      <alignment horizontal="right"/>
      <protection locked="0"/>
    </xf>
    <xf numFmtId="172" fontId="5" fillId="34" borderId="18" xfId="44" applyNumberFormat="1" applyFont="1" applyFill="1" applyBorder="1" applyAlignment="1" applyProtection="1">
      <alignment horizontal="right"/>
      <protection locked="0"/>
    </xf>
    <xf numFmtId="172" fontId="5" fillId="0" borderId="20" xfId="44" applyNumberFormat="1" applyFont="1" applyFill="1" applyBorder="1" applyAlignment="1" applyProtection="1">
      <alignment vertical="center"/>
      <protection locked="0"/>
    </xf>
    <xf numFmtId="0" fontId="5" fillId="0" borderId="18" xfId="0" applyFont="1" applyFill="1" applyBorder="1" applyAlignment="1" applyProtection="1">
      <alignment horizontal="right"/>
      <protection locked="0"/>
    </xf>
    <xf numFmtId="171" fontId="5" fillId="4" borderId="18" xfId="44" applyNumberFormat="1" applyFont="1" applyFill="1" applyBorder="1" applyAlignment="1" applyProtection="1">
      <alignment horizontal="right"/>
      <protection locked="0"/>
    </xf>
    <xf numFmtId="174" fontId="5" fillId="2" borderId="19" xfId="44" applyNumberFormat="1" applyFont="1" applyFill="1" applyBorder="1" applyAlignment="1" applyProtection="1">
      <alignment horizontal="right"/>
      <protection locked="0"/>
    </xf>
    <xf numFmtId="171" fontId="5" fillId="0" borderId="10" xfId="44" applyNumberFormat="1" applyFont="1" applyFill="1" applyBorder="1" applyAlignment="1" applyProtection="1">
      <alignment vertical="center"/>
      <protection locked="0"/>
    </xf>
    <xf numFmtId="172" fontId="5" fillId="34" borderId="11" xfId="0" applyNumberFormat="1" applyFont="1" applyFill="1" applyBorder="1" applyAlignment="1" applyProtection="1">
      <alignment horizontal="right"/>
      <protection locked="0"/>
    </xf>
    <xf numFmtId="43" fontId="100" fillId="34" borderId="23" xfId="44" applyFont="1" applyFill="1" applyBorder="1" applyAlignment="1" applyProtection="1">
      <alignment wrapText="1"/>
      <protection locked="0"/>
    </xf>
    <xf numFmtId="172" fontId="100" fillId="0" borderId="11" xfId="44" applyNumberFormat="1" applyFont="1" applyFill="1" applyBorder="1" applyAlignment="1" applyProtection="1">
      <alignment vertical="center"/>
      <protection locked="0"/>
    </xf>
    <xf numFmtId="172" fontId="100" fillId="0" borderId="20" xfId="44" applyNumberFormat="1" applyFont="1" applyFill="1" applyBorder="1" applyAlignment="1" applyProtection="1">
      <alignment vertical="center"/>
      <protection locked="0"/>
    </xf>
    <xf numFmtId="172" fontId="5" fillId="0" borderId="35" xfId="44" applyNumberFormat="1" applyFont="1" applyFill="1" applyBorder="1" applyAlignment="1" applyProtection="1">
      <alignment vertical="center"/>
      <protection locked="0"/>
    </xf>
    <xf numFmtId="172" fontId="5" fillId="34" borderId="13" xfId="0" applyNumberFormat="1" applyFont="1" applyFill="1" applyBorder="1" applyAlignment="1" applyProtection="1">
      <alignment horizontal="right"/>
      <protection locked="0"/>
    </xf>
    <xf numFmtId="43" fontId="5" fillId="0" borderId="13" xfId="44" applyFont="1" applyFill="1" applyBorder="1" applyAlignment="1" applyProtection="1">
      <alignment vertical="center"/>
      <protection locked="0"/>
    </xf>
    <xf numFmtId="172" fontId="5" fillId="33" borderId="11" xfId="44" applyNumberFormat="1" applyFont="1" applyFill="1" applyBorder="1" applyAlignment="1" applyProtection="1">
      <alignment vertical="center"/>
      <protection locked="0"/>
    </xf>
    <xf numFmtId="172" fontId="5" fillId="33" borderId="20" xfId="44" applyNumberFormat="1" applyFont="1" applyFill="1" applyBorder="1" applyAlignment="1" applyProtection="1">
      <alignment vertical="center"/>
      <protection locked="0"/>
    </xf>
    <xf numFmtId="172" fontId="5" fillId="33" borderId="10" xfId="44" applyNumberFormat="1" applyFont="1" applyFill="1" applyBorder="1" applyAlignment="1" applyProtection="1">
      <alignment vertical="center"/>
      <protection locked="0"/>
    </xf>
    <xf numFmtId="172" fontId="5" fillId="33" borderId="34" xfId="44" applyNumberFormat="1" applyFont="1" applyFill="1" applyBorder="1" applyAlignment="1" applyProtection="1">
      <alignment vertical="center"/>
      <protection locked="0"/>
    </xf>
    <xf numFmtId="172" fontId="5" fillId="34" borderId="19" xfId="0" applyNumberFormat="1" applyFont="1" applyFill="1" applyBorder="1" applyAlignment="1" applyProtection="1">
      <alignment horizontal="right"/>
      <protection locked="0"/>
    </xf>
    <xf numFmtId="172" fontId="7" fillId="8" borderId="11" xfId="44" applyNumberFormat="1" applyFont="1" applyFill="1" applyBorder="1" applyAlignment="1" applyProtection="1">
      <alignment horizontal="right"/>
      <protection locked="0"/>
    </xf>
    <xf numFmtId="172" fontId="7" fillId="34" borderId="11" xfId="44" applyNumberFormat="1" applyFont="1" applyFill="1" applyBorder="1" applyAlignment="1" applyProtection="1">
      <alignment horizontal="right"/>
      <protection locked="0"/>
    </xf>
    <xf numFmtId="0" fontId="97" fillId="33" borderId="0" xfId="0" applyFont="1" applyFill="1" applyBorder="1" applyAlignment="1" applyProtection="1">
      <alignment horizontal="left" vertical="center"/>
      <protection locked="0"/>
    </xf>
    <xf numFmtId="0" fontId="97" fillId="33" borderId="0" xfId="0" applyFont="1" applyFill="1" applyBorder="1" applyAlignment="1" applyProtection="1">
      <alignment vertical="center"/>
      <protection locked="0"/>
    </xf>
    <xf numFmtId="0" fontId="11" fillId="0" borderId="25" xfId="0" applyFont="1" applyFill="1" applyBorder="1" applyAlignment="1" applyProtection="1">
      <alignment vertical="center" wrapText="1"/>
      <protection/>
    </xf>
    <xf numFmtId="0" fontId="95" fillId="8" borderId="36" xfId="0" applyFont="1" applyFill="1" applyBorder="1" applyAlignment="1" applyProtection="1">
      <alignment horizontal="left" vertical="top"/>
      <protection locked="0"/>
    </xf>
    <xf numFmtId="0" fontId="12" fillId="0" borderId="10" xfId="58" applyFont="1" applyFill="1" applyBorder="1" applyAlignment="1" applyProtection="1">
      <alignment vertical="center" wrapText="1"/>
      <protection/>
    </xf>
    <xf numFmtId="0" fontId="11" fillId="0" borderId="10" xfId="0" applyFont="1" applyFill="1" applyBorder="1" applyAlignment="1" applyProtection="1">
      <alignment vertical="top" wrapText="1"/>
      <protection/>
    </xf>
    <xf numFmtId="0" fontId="12" fillId="0" borderId="10" xfId="58" applyFont="1" applyFill="1" applyBorder="1" applyAlignment="1" applyProtection="1">
      <alignment horizontal="center" vertical="center" wrapText="1"/>
      <protection/>
    </xf>
    <xf numFmtId="0" fontId="7" fillId="8" borderId="36" xfId="0" applyFont="1" applyFill="1" applyBorder="1" applyAlignment="1" applyProtection="1">
      <alignment horizontal="center" vertical="center"/>
      <protection locked="0"/>
    </xf>
    <xf numFmtId="0" fontId="11" fillId="0" borderId="10" xfId="0" applyFont="1" applyFill="1" applyBorder="1" applyAlignment="1" applyProtection="1">
      <alignment horizontal="center" vertical="center" wrapText="1"/>
      <protection/>
    </xf>
    <xf numFmtId="172" fontId="5" fillId="33" borderId="37" xfId="44" applyNumberFormat="1" applyFont="1" applyFill="1" applyBorder="1" applyAlignment="1" applyProtection="1">
      <alignment horizontal="center" wrapText="1"/>
      <protection locked="0"/>
    </xf>
    <xf numFmtId="172" fontId="5" fillId="33" borderId="0" xfId="44" applyNumberFormat="1" applyFont="1" applyFill="1" applyBorder="1" applyAlignment="1" applyProtection="1">
      <alignment horizontal="center" wrapText="1"/>
      <protection locked="0"/>
    </xf>
    <xf numFmtId="172" fontId="5" fillId="33" borderId="30" xfId="44" applyNumberFormat="1" applyFont="1" applyFill="1" applyBorder="1" applyAlignment="1" applyProtection="1">
      <alignment horizontal="center" wrapText="1"/>
      <protection locked="0"/>
    </xf>
    <xf numFmtId="172" fontId="5" fillId="33" borderId="38" xfId="44" applyNumberFormat="1" applyFont="1" applyFill="1" applyBorder="1" applyAlignment="1" applyProtection="1">
      <alignment horizontal="center" wrapText="1"/>
      <protection locked="0"/>
    </xf>
    <xf numFmtId="0" fontId="5" fillId="33" borderId="38" xfId="0" applyFont="1" applyFill="1" applyBorder="1" applyAlignment="1">
      <alignment horizontal="center" vertical="center"/>
    </xf>
    <xf numFmtId="172" fontId="5" fillId="33" borderId="38" xfId="44" applyNumberFormat="1" applyFont="1" applyFill="1" applyBorder="1" applyAlignment="1" applyProtection="1">
      <alignment vertical="center"/>
      <protection locked="0"/>
    </xf>
    <xf numFmtId="172" fontId="5" fillId="33" borderId="39" xfId="44" applyNumberFormat="1" applyFont="1" applyFill="1" applyBorder="1" applyAlignment="1" applyProtection="1">
      <alignment vertical="center"/>
      <protection locked="0"/>
    </xf>
    <xf numFmtId="172" fontId="5" fillId="33" borderId="33" xfId="44" applyNumberFormat="1" applyFont="1" applyFill="1" applyBorder="1" applyAlignment="1" applyProtection="1">
      <alignment vertical="center"/>
      <protection locked="0"/>
    </xf>
    <xf numFmtId="172" fontId="2" fillId="0" borderId="0" xfId="0" applyNumberFormat="1" applyFont="1" applyFill="1" applyBorder="1" applyAlignment="1" applyProtection="1">
      <alignment/>
      <protection locked="0"/>
    </xf>
    <xf numFmtId="43" fontId="2" fillId="33" borderId="0" xfId="42" applyFont="1" applyFill="1" applyBorder="1" applyAlignment="1" applyProtection="1">
      <alignment horizontal="center" vertical="center"/>
      <protection locked="0"/>
    </xf>
    <xf numFmtId="172" fontId="3" fillId="33" borderId="0" xfId="44" applyNumberFormat="1" applyFont="1" applyFill="1" applyBorder="1" applyAlignment="1" applyProtection="1">
      <alignment horizontal="center" vertical="center" wrapText="1"/>
      <protection locked="0"/>
    </xf>
    <xf numFmtId="172" fontId="2" fillId="33" borderId="0" xfId="44" applyNumberFormat="1" applyFont="1" applyFill="1" applyBorder="1" applyAlignment="1" applyProtection="1">
      <alignment horizontal="center" vertical="center" wrapText="1"/>
      <protection locked="0"/>
    </xf>
    <xf numFmtId="0" fontId="14" fillId="33" borderId="0" xfId="0" applyFont="1" applyFill="1" applyBorder="1" applyAlignment="1" applyProtection="1">
      <alignment vertical="center"/>
      <protection locked="0"/>
    </xf>
    <xf numFmtId="0" fontId="103" fillId="33" borderId="0" xfId="0" applyFont="1" applyFill="1" applyBorder="1" applyAlignment="1" applyProtection="1">
      <alignment/>
      <protection locked="0"/>
    </xf>
    <xf numFmtId="0" fontId="103" fillId="33" borderId="0" xfId="0" applyFont="1" applyFill="1" applyBorder="1" applyAlignment="1" applyProtection="1">
      <alignment vertical="center"/>
      <protection locked="0"/>
    </xf>
    <xf numFmtId="0" fontId="14" fillId="33" borderId="0" xfId="0" applyFont="1" applyFill="1" applyBorder="1" applyAlignment="1" applyProtection="1">
      <alignment horizontal="center"/>
      <protection locked="0"/>
    </xf>
    <xf numFmtId="172" fontId="14" fillId="33" borderId="0" xfId="42" applyNumberFormat="1" applyFont="1" applyFill="1" applyBorder="1" applyAlignment="1" applyProtection="1">
      <alignment horizontal="right"/>
      <protection locked="0"/>
    </xf>
    <xf numFmtId="0" fontId="14" fillId="33" borderId="0" xfId="0" applyFont="1" applyFill="1" applyBorder="1" applyAlignment="1" applyProtection="1">
      <alignment horizontal="right"/>
      <protection locked="0"/>
    </xf>
    <xf numFmtId="0" fontId="11" fillId="33" borderId="0" xfId="0" applyFont="1" applyFill="1" applyBorder="1" applyAlignment="1" applyProtection="1">
      <alignment horizontal="right"/>
      <protection locked="0"/>
    </xf>
    <xf numFmtId="172" fontId="11" fillId="33" borderId="0" xfId="42" applyNumberFormat="1" applyFont="1" applyFill="1" applyBorder="1" applyAlignment="1" applyProtection="1">
      <alignment horizontal="right" vertical="center"/>
      <protection locked="0"/>
    </xf>
    <xf numFmtId="172" fontId="11" fillId="33" borderId="0" xfId="42" applyNumberFormat="1" applyFont="1" applyFill="1" applyBorder="1" applyAlignment="1" applyProtection="1">
      <alignment horizontal="right"/>
      <protection locked="0"/>
    </xf>
    <xf numFmtId="172" fontId="11" fillId="33" borderId="0" xfId="42" applyNumberFormat="1" applyFont="1" applyFill="1" applyBorder="1" applyAlignment="1" applyProtection="1">
      <alignment horizontal="right" vertical="center" wrapText="1"/>
      <protection locked="0"/>
    </xf>
    <xf numFmtId="172" fontId="11" fillId="33" borderId="0" xfId="42" applyNumberFormat="1" applyFont="1" applyFill="1" applyBorder="1" applyAlignment="1" applyProtection="1">
      <alignment horizontal="right" wrapText="1"/>
      <protection locked="0"/>
    </xf>
    <xf numFmtId="172" fontId="12" fillId="33" borderId="0" xfId="42" applyNumberFormat="1" applyFont="1" applyFill="1" applyBorder="1" applyAlignment="1" applyProtection="1">
      <alignment horizontal="right" vertical="center" wrapText="1"/>
      <protection locked="0"/>
    </xf>
    <xf numFmtId="172" fontId="14" fillId="33" borderId="0" xfId="42" applyNumberFormat="1" applyFont="1" applyFill="1" applyBorder="1" applyAlignment="1" applyProtection="1">
      <alignment horizontal="right" wrapText="1"/>
      <protection locked="0"/>
    </xf>
    <xf numFmtId="0" fontId="14" fillId="33" borderId="0" xfId="0" applyFont="1" applyFill="1" applyBorder="1" applyAlignment="1" applyProtection="1">
      <alignment/>
      <protection locked="0"/>
    </xf>
    <xf numFmtId="43" fontId="14" fillId="33" borderId="0" xfId="42" applyFont="1" applyFill="1" applyBorder="1" applyAlignment="1" applyProtection="1">
      <alignment/>
      <protection locked="0"/>
    </xf>
    <xf numFmtId="0" fontId="12" fillId="33" borderId="0" xfId="0" applyFont="1" applyFill="1" applyBorder="1" applyAlignment="1">
      <alignment vertical="center" wrapText="1"/>
    </xf>
    <xf numFmtId="0" fontId="12" fillId="33" borderId="0" xfId="0" applyFont="1" applyFill="1" applyBorder="1" applyAlignment="1">
      <alignment wrapText="1"/>
    </xf>
    <xf numFmtId="0" fontId="104" fillId="0" borderId="0" xfId="0" applyFont="1" applyFill="1" applyBorder="1" applyAlignment="1" applyProtection="1">
      <alignment/>
      <protection locked="0"/>
    </xf>
    <xf numFmtId="43" fontId="104" fillId="0" borderId="0" xfId="42" applyFont="1" applyFill="1" applyBorder="1" applyAlignment="1" applyProtection="1">
      <alignment/>
      <protection locked="0"/>
    </xf>
    <xf numFmtId="0" fontId="16" fillId="8" borderId="33" xfId="0" applyFont="1" applyFill="1" applyBorder="1" applyAlignment="1" applyProtection="1">
      <alignment horizontal="center" vertical="center" wrapText="1"/>
      <protection locked="0"/>
    </xf>
    <xf numFmtId="0" fontId="16" fillId="0" borderId="0" xfId="0" applyFont="1" applyFill="1" applyBorder="1" applyAlignment="1" applyProtection="1">
      <alignment horizontal="center"/>
      <protection locked="0"/>
    </xf>
    <xf numFmtId="43" fontId="16" fillId="0" borderId="0" xfId="42" applyFont="1" applyFill="1" applyBorder="1" applyAlignment="1" applyProtection="1">
      <alignment horizontal="center"/>
      <protection locked="0"/>
    </xf>
    <xf numFmtId="0" fontId="16" fillId="0" borderId="0" xfId="0" applyFont="1" applyFill="1" applyBorder="1" applyAlignment="1" applyProtection="1">
      <alignment horizontal="center" wrapText="1"/>
      <protection locked="0"/>
    </xf>
    <xf numFmtId="43" fontId="16" fillId="0" borderId="0" xfId="42" applyFont="1" applyFill="1" applyBorder="1" applyAlignment="1" applyProtection="1">
      <alignment horizontal="center" wrapText="1"/>
      <protection locked="0"/>
    </xf>
    <xf numFmtId="0" fontId="16" fillId="8" borderId="18" xfId="0" applyFont="1" applyFill="1" applyBorder="1" applyAlignment="1" applyProtection="1">
      <alignment wrapText="1"/>
      <protection locked="0"/>
    </xf>
    <xf numFmtId="0" fontId="12" fillId="8" borderId="12" xfId="0" applyFont="1" applyFill="1" applyBorder="1" applyAlignment="1">
      <alignment horizontal="center" vertical="center"/>
    </xf>
    <xf numFmtId="0" fontId="12" fillId="34" borderId="12" xfId="0" applyFont="1" applyFill="1" applyBorder="1" applyAlignment="1">
      <alignment horizontal="center" vertical="center"/>
    </xf>
    <xf numFmtId="0" fontId="16" fillId="0" borderId="0" xfId="0" applyFont="1" applyFill="1" applyBorder="1" applyAlignment="1" applyProtection="1">
      <alignment horizontal="center" vertical="center" wrapText="1"/>
      <protection locked="0"/>
    </xf>
    <xf numFmtId="43" fontId="16" fillId="0" borderId="0" xfId="42" applyFont="1" applyFill="1" applyBorder="1" applyAlignment="1" applyProtection="1">
      <alignment horizontal="center" vertical="center" wrapText="1"/>
      <protection locked="0"/>
    </xf>
    <xf numFmtId="0" fontId="12" fillId="8" borderId="10" xfId="0" applyFont="1" applyFill="1" applyBorder="1" applyAlignment="1">
      <alignment horizontal="center" vertical="center"/>
    </xf>
    <xf numFmtId="0" fontId="12" fillId="8" borderId="10" xfId="0" applyFont="1" applyFill="1" applyBorder="1" applyAlignment="1">
      <alignment horizontal="center" vertical="center" wrapText="1"/>
    </xf>
    <xf numFmtId="0" fontId="11" fillId="0" borderId="10" xfId="0" applyFont="1" applyFill="1" applyBorder="1" applyAlignment="1" applyProtection="1">
      <alignment horizontal="left" vertical="top" wrapText="1"/>
      <protection/>
    </xf>
    <xf numFmtId="0" fontId="11" fillId="33" borderId="10" xfId="0" applyFont="1" applyFill="1" applyBorder="1" applyAlignment="1" applyProtection="1">
      <alignment horizontal="center" vertical="center" wrapText="1"/>
      <protection locked="0"/>
    </xf>
    <xf numFmtId="0" fontId="16" fillId="33" borderId="10" xfId="0" applyFont="1" applyFill="1" applyBorder="1" applyAlignment="1" applyProtection="1">
      <alignment horizontal="center" vertical="center" wrapText="1"/>
      <protection locked="0"/>
    </xf>
    <xf numFmtId="0" fontId="12" fillId="33" borderId="10" xfId="0" applyFont="1" applyFill="1" applyBorder="1" applyAlignment="1">
      <alignment horizontal="center" vertical="center"/>
    </xf>
    <xf numFmtId="172" fontId="16" fillId="34" borderId="10" xfId="0" applyNumberFormat="1" applyFont="1" applyFill="1" applyBorder="1" applyAlignment="1" applyProtection="1">
      <alignment horizontal="right"/>
      <protection locked="0"/>
    </xf>
    <xf numFmtId="172" fontId="12" fillId="34" borderId="10" xfId="44" applyNumberFormat="1" applyFont="1" applyFill="1" applyBorder="1" applyAlignment="1" applyProtection="1">
      <alignment horizontal="right" vertical="center"/>
      <protection locked="0"/>
    </xf>
    <xf numFmtId="172" fontId="16" fillId="34" borderId="10" xfId="42" applyNumberFormat="1" applyFont="1" applyFill="1" applyBorder="1" applyAlignment="1" applyProtection="1">
      <alignment horizontal="right" vertical="center"/>
      <protection locked="0"/>
    </xf>
    <xf numFmtId="172" fontId="16" fillId="34" borderId="10" xfId="42" applyNumberFormat="1" applyFont="1" applyFill="1" applyBorder="1" applyAlignment="1" applyProtection="1">
      <alignment horizontal="right"/>
      <protection locked="0"/>
    </xf>
    <xf numFmtId="0" fontId="12" fillId="34" borderId="10" xfId="0" applyFont="1" applyFill="1" applyBorder="1" applyAlignment="1">
      <alignment horizontal="center" vertical="center"/>
    </xf>
    <xf numFmtId="172" fontId="12" fillId="33" borderId="10" xfId="0" applyNumberFormat="1" applyFont="1" applyFill="1" applyBorder="1" applyAlignment="1">
      <alignment horizontal="center" vertical="center"/>
    </xf>
    <xf numFmtId="0" fontId="16" fillId="33" borderId="0" xfId="0" applyFont="1" applyFill="1" applyBorder="1" applyAlignment="1" applyProtection="1">
      <alignment horizontal="center" vertical="center" wrapText="1"/>
      <protection locked="0"/>
    </xf>
    <xf numFmtId="0" fontId="12" fillId="33" borderId="12" xfId="0" applyFont="1" applyFill="1" applyBorder="1" applyAlignment="1">
      <alignment horizontal="center" vertical="center"/>
    </xf>
    <xf numFmtId="43" fontId="16" fillId="33" borderId="0" xfId="42" applyFont="1" applyFill="1" applyBorder="1" applyAlignment="1" applyProtection="1">
      <alignment horizontal="center" vertical="center" wrapText="1"/>
      <protection locked="0"/>
    </xf>
    <xf numFmtId="43" fontId="12" fillId="34" borderId="10" xfId="42" applyFont="1" applyFill="1" applyBorder="1" applyAlignment="1">
      <alignment horizontal="center" vertical="center"/>
    </xf>
    <xf numFmtId="43" fontId="12" fillId="33" borderId="10" xfId="42" applyFont="1" applyFill="1" applyBorder="1" applyAlignment="1">
      <alignment horizontal="center" vertical="center"/>
    </xf>
    <xf numFmtId="0" fontId="11" fillId="0" borderId="19" xfId="0" applyFont="1" applyFill="1" applyBorder="1" applyAlignment="1" applyProtection="1">
      <alignment horizontal="center" vertical="center" wrapText="1"/>
      <protection/>
    </xf>
    <xf numFmtId="0" fontId="11" fillId="0" borderId="10" xfId="0" applyFont="1" applyFill="1" applyBorder="1" applyAlignment="1" applyProtection="1">
      <alignment horizontal="left" vertical="center" wrapText="1"/>
      <protection/>
    </xf>
    <xf numFmtId="172" fontId="16" fillId="2" borderId="10" xfId="42" applyNumberFormat="1" applyFont="1" applyFill="1" applyBorder="1" applyAlignment="1" applyProtection="1">
      <alignment horizontal="right"/>
      <protection locked="0"/>
    </xf>
    <xf numFmtId="0" fontId="16" fillId="2" borderId="10" xfId="0" applyFont="1" applyFill="1" applyBorder="1" applyAlignment="1" applyProtection="1">
      <alignment horizontal="right"/>
      <protection locked="0"/>
    </xf>
    <xf numFmtId="0" fontId="16" fillId="0" borderId="10" xfId="0" applyFont="1" applyFill="1" applyBorder="1" applyAlignment="1" applyProtection="1">
      <alignment horizontal="right"/>
      <protection locked="0"/>
    </xf>
    <xf numFmtId="172" fontId="16" fillId="0" borderId="10" xfId="42" applyNumberFormat="1" applyFont="1" applyFill="1" applyBorder="1" applyAlignment="1" applyProtection="1">
      <alignment horizontal="right"/>
      <protection locked="0"/>
    </xf>
    <xf numFmtId="172" fontId="16" fillId="0" borderId="10" xfId="42" applyNumberFormat="1" applyFont="1" applyFill="1" applyBorder="1" applyAlignment="1" applyProtection="1">
      <alignment horizontal="right" vertical="center"/>
      <protection locked="0"/>
    </xf>
    <xf numFmtId="172" fontId="16" fillId="4" borderId="10" xfId="42" applyNumberFormat="1" applyFont="1" applyFill="1" applyBorder="1" applyAlignment="1" applyProtection="1">
      <alignment horizontal="right"/>
      <protection locked="0"/>
    </xf>
    <xf numFmtId="172" fontId="16" fillId="0" borderId="10" xfId="42" applyNumberFormat="1" applyFont="1" applyFill="1" applyBorder="1" applyAlignment="1" applyProtection="1">
      <alignment vertical="center"/>
      <protection locked="0"/>
    </xf>
    <xf numFmtId="0" fontId="98" fillId="34" borderId="10" xfId="0" applyFont="1" applyFill="1" applyBorder="1" applyAlignment="1" applyProtection="1">
      <alignment horizontal="left" vertical="top" wrapText="1"/>
      <protection/>
    </xf>
    <xf numFmtId="0" fontId="16" fillId="0" borderId="0" xfId="0" applyFont="1" applyFill="1" applyBorder="1" applyAlignment="1" applyProtection="1">
      <alignment/>
      <protection locked="0"/>
    </xf>
    <xf numFmtId="43" fontId="16" fillId="0" borderId="0" xfId="42" applyFont="1" applyFill="1" applyBorder="1" applyAlignment="1" applyProtection="1">
      <alignment/>
      <protection locked="0"/>
    </xf>
    <xf numFmtId="0" fontId="17" fillId="2" borderId="10" xfId="0" applyFont="1" applyFill="1" applyBorder="1" applyAlignment="1" applyProtection="1">
      <alignment wrapText="1"/>
      <protection locked="0"/>
    </xf>
    <xf numFmtId="0" fontId="17" fillId="0" borderId="10" xfId="0" applyFont="1" applyFill="1" applyBorder="1" applyAlignment="1" applyProtection="1">
      <alignment wrapText="1"/>
      <protection locked="0"/>
    </xf>
    <xf numFmtId="0" fontId="17" fillId="0" borderId="10" xfId="0" applyFont="1" applyFill="1" applyBorder="1" applyAlignment="1" applyProtection="1">
      <alignment vertical="center" wrapText="1"/>
      <protection locked="0"/>
    </xf>
    <xf numFmtId="0" fontId="17" fillId="4" borderId="10" xfId="0" applyFont="1" applyFill="1" applyBorder="1" applyAlignment="1" applyProtection="1">
      <alignment wrapText="1"/>
      <protection locked="0"/>
    </xf>
    <xf numFmtId="0" fontId="16" fillId="34" borderId="10" xfId="0" applyFont="1" applyFill="1" applyBorder="1" applyAlignment="1" applyProtection="1">
      <alignment vertical="center" wrapText="1"/>
      <protection locked="0"/>
    </xf>
    <xf numFmtId="0" fontId="17" fillId="0" borderId="0" xfId="0" applyFont="1" applyFill="1" applyBorder="1" applyAlignment="1" applyProtection="1">
      <alignment/>
      <protection locked="0"/>
    </xf>
    <xf numFmtId="43" fontId="17" fillId="0" borderId="0" xfId="42" applyFont="1" applyFill="1" applyBorder="1" applyAlignment="1" applyProtection="1">
      <alignment/>
      <protection locked="0"/>
    </xf>
    <xf numFmtId="0" fontId="12" fillId="2" borderId="10" xfId="0" applyFont="1" applyFill="1" applyBorder="1" applyAlignment="1" applyProtection="1">
      <alignment horizontal="right"/>
      <protection locked="0"/>
    </xf>
    <xf numFmtId="0" fontId="12" fillId="0" borderId="10" xfId="0" applyFont="1" applyFill="1" applyBorder="1" applyAlignment="1" applyProtection="1">
      <alignment horizontal="right"/>
      <protection locked="0"/>
    </xf>
    <xf numFmtId="0" fontId="17" fillId="0" borderId="10" xfId="0" applyFont="1" applyFill="1" applyBorder="1" applyAlignment="1" applyProtection="1">
      <alignment horizontal="right" wrapText="1"/>
      <protection locked="0"/>
    </xf>
    <xf numFmtId="172" fontId="17" fillId="0" borderId="10" xfId="42" applyNumberFormat="1" applyFont="1" applyFill="1" applyBorder="1" applyAlignment="1" applyProtection="1">
      <alignment horizontal="right" wrapText="1"/>
      <protection locked="0"/>
    </xf>
    <xf numFmtId="172" fontId="17" fillId="0" borderId="10" xfId="42" applyNumberFormat="1" applyFont="1" applyFill="1" applyBorder="1" applyAlignment="1" applyProtection="1">
      <alignment horizontal="right" vertical="center" wrapText="1"/>
      <protection locked="0"/>
    </xf>
    <xf numFmtId="172" fontId="11" fillId="4" borderId="10" xfId="42" applyNumberFormat="1" applyFont="1" applyFill="1" applyBorder="1" applyAlignment="1" applyProtection="1">
      <alignment horizontal="right" wrapText="1"/>
      <protection locked="0"/>
    </xf>
    <xf numFmtId="172" fontId="12" fillId="34" borderId="10" xfId="42" applyNumberFormat="1" applyFont="1" applyFill="1" applyBorder="1" applyAlignment="1" applyProtection="1">
      <alignment horizontal="right" vertical="center" wrapText="1"/>
      <protection locked="0"/>
    </xf>
    <xf numFmtId="0" fontId="11" fillId="0" borderId="0" xfId="0" applyFont="1" applyFill="1" applyBorder="1" applyAlignment="1" applyProtection="1">
      <alignment/>
      <protection locked="0"/>
    </xf>
    <xf numFmtId="43" fontId="11" fillId="0" borderId="0" xfId="42" applyFont="1" applyFill="1" applyBorder="1" applyAlignment="1" applyProtection="1">
      <alignment/>
      <protection locked="0"/>
    </xf>
    <xf numFmtId="0" fontId="11" fillId="0" borderId="13" xfId="0" applyFont="1" applyFill="1" applyBorder="1" applyAlignment="1" applyProtection="1">
      <alignment horizontal="center" vertical="center" wrapText="1"/>
      <protection/>
    </xf>
    <xf numFmtId="0" fontId="16" fillId="0" borderId="10" xfId="0" applyFont="1" applyFill="1" applyBorder="1" applyAlignment="1" applyProtection="1">
      <alignment horizontal="right" wrapText="1"/>
      <protection locked="0"/>
    </xf>
    <xf numFmtId="172" fontId="11" fillId="0" borderId="10" xfId="42" applyNumberFormat="1" applyFont="1" applyFill="1" applyBorder="1" applyAlignment="1" applyProtection="1">
      <alignment horizontal="right"/>
      <protection locked="0"/>
    </xf>
    <xf numFmtId="172" fontId="11" fillId="0" borderId="10" xfId="42" applyNumberFormat="1" applyFont="1" applyFill="1" applyBorder="1" applyAlignment="1" applyProtection="1">
      <alignment horizontal="right" vertical="center" wrapText="1"/>
      <protection locked="0"/>
    </xf>
    <xf numFmtId="43" fontId="98" fillId="0" borderId="0" xfId="42" applyFont="1" applyFill="1" applyBorder="1" applyAlignment="1" applyProtection="1">
      <alignment/>
      <protection locked="0"/>
    </xf>
    <xf numFmtId="43" fontId="98" fillId="0" borderId="0" xfId="0" applyNumberFormat="1" applyFont="1" applyFill="1" applyBorder="1" applyAlignment="1" applyProtection="1">
      <alignment/>
      <protection locked="0"/>
    </xf>
    <xf numFmtId="43" fontId="14" fillId="0" borderId="0" xfId="42" applyFont="1" applyFill="1" applyBorder="1" applyAlignment="1" applyProtection="1">
      <alignment/>
      <protection locked="0"/>
    </xf>
    <xf numFmtId="0" fontId="14" fillId="0" borderId="0" xfId="0" applyFont="1" applyFill="1" applyBorder="1" applyAlignment="1" applyProtection="1">
      <alignment/>
      <protection locked="0"/>
    </xf>
    <xf numFmtId="0" fontId="18" fillId="8" borderId="10" xfId="0" applyFont="1" applyFill="1" applyBorder="1" applyAlignment="1" applyProtection="1">
      <alignment vertical="center"/>
      <protection locked="0"/>
    </xf>
    <xf numFmtId="0" fontId="18" fillId="8" borderId="10" xfId="0" applyFont="1" applyFill="1" applyBorder="1" applyAlignment="1" applyProtection="1">
      <alignment horizontal="center"/>
      <protection locked="0"/>
    </xf>
    <xf numFmtId="172" fontId="18" fillId="8" borderId="10" xfId="42" applyNumberFormat="1" applyFont="1" applyFill="1" applyBorder="1" applyAlignment="1" applyProtection="1">
      <alignment horizontal="right"/>
      <protection locked="0"/>
    </xf>
    <xf numFmtId="0" fontId="18" fillId="8" borderId="10" xfId="0" applyFont="1" applyFill="1" applyBorder="1" applyAlignment="1" applyProtection="1">
      <alignment horizontal="right"/>
      <protection locked="0"/>
    </xf>
    <xf numFmtId="0" fontId="19" fillId="0" borderId="10" xfId="0" applyFont="1" applyFill="1" applyBorder="1" applyAlignment="1" applyProtection="1">
      <alignment horizontal="center"/>
      <protection locked="0"/>
    </xf>
    <xf numFmtId="172" fontId="12" fillId="2" borderId="10" xfId="42" applyNumberFormat="1" applyFont="1" applyFill="1" applyBorder="1" applyAlignment="1" applyProtection="1">
      <alignment horizontal="right"/>
      <protection locked="0"/>
    </xf>
    <xf numFmtId="172" fontId="12" fillId="0" borderId="10" xfId="42" applyNumberFormat="1" applyFont="1" applyFill="1" applyBorder="1" applyAlignment="1" applyProtection="1">
      <alignment horizontal="right"/>
      <protection locked="0"/>
    </xf>
    <xf numFmtId="172" fontId="12" fillId="0" borderId="10" xfId="42" applyNumberFormat="1" applyFont="1" applyFill="1" applyBorder="1" applyAlignment="1" applyProtection="1">
      <alignment horizontal="right" vertical="center"/>
      <protection locked="0"/>
    </xf>
    <xf numFmtId="172" fontId="12" fillId="4" borderId="10" xfId="42" applyNumberFormat="1" applyFont="1" applyFill="1" applyBorder="1" applyAlignment="1" applyProtection="1">
      <alignment horizontal="right"/>
      <protection locked="0"/>
    </xf>
    <xf numFmtId="172" fontId="12" fillId="34" borderId="10" xfId="42" applyNumberFormat="1" applyFont="1" applyFill="1" applyBorder="1" applyAlignment="1" applyProtection="1">
      <alignment horizontal="right" vertical="center"/>
      <protection locked="0"/>
    </xf>
    <xf numFmtId="0" fontId="105" fillId="8" borderId="10" xfId="0" applyFont="1" applyFill="1" applyBorder="1" applyAlignment="1" applyProtection="1">
      <alignment/>
      <protection locked="0"/>
    </xf>
    <xf numFmtId="0" fontId="103" fillId="8" borderId="10" xfId="0" applyFont="1" applyFill="1" applyBorder="1" applyAlignment="1" applyProtection="1">
      <alignment vertical="center"/>
      <protection locked="0"/>
    </xf>
    <xf numFmtId="0" fontId="14" fillId="0" borderId="0" xfId="0" applyFont="1" applyFill="1" applyBorder="1" applyAlignment="1" applyProtection="1">
      <alignment vertical="center"/>
      <protection locked="0"/>
    </xf>
    <xf numFmtId="0" fontId="103" fillId="0" borderId="0" xfId="0" applyFont="1" applyFill="1" applyBorder="1" applyAlignment="1" applyProtection="1">
      <alignment/>
      <protection locked="0"/>
    </xf>
    <xf numFmtId="0" fontId="103" fillId="0" borderId="0" xfId="0" applyFont="1" applyFill="1" applyBorder="1" applyAlignment="1" applyProtection="1">
      <alignment vertical="center"/>
      <protection locked="0"/>
    </xf>
    <xf numFmtId="0" fontId="14" fillId="0" borderId="0" xfId="0" applyFont="1" applyFill="1" applyBorder="1" applyAlignment="1" applyProtection="1">
      <alignment horizontal="center"/>
      <protection locked="0"/>
    </xf>
    <xf numFmtId="172" fontId="14" fillId="0" borderId="0" xfId="42" applyNumberFormat="1" applyFont="1" applyFill="1" applyBorder="1" applyAlignment="1" applyProtection="1">
      <alignment horizontal="right"/>
      <protection locked="0"/>
    </xf>
    <xf numFmtId="0" fontId="14" fillId="0" borderId="0" xfId="0" applyFont="1" applyFill="1" applyBorder="1" applyAlignment="1" applyProtection="1">
      <alignment horizontal="right"/>
      <protection locked="0"/>
    </xf>
    <xf numFmtId="0" fontId="11" fillId="0" borderId="0" xfId="0" applyFont="1" applyFill="1" applyBorder="1" applyAlignment="1" applyProtection="1">
      <alignment horizontal="right"/>
      <protection locked="0"/>
    </xf>
    <xf numFmtId="172" fontId="11" fillId="0" borderId="0" xfId="42" applyNumberFormat="1" applyFont="1" applyFill="1" applyBorder="1" applyAlignment="1" applyProtection="1">
      <alignment horizontal="right" vertical="center"/>
      <protection locked="0"/>
    </xf>
    <xf numFmtId="172" fontId="11" fillId="0" borderId="0" xfId="42" applyNumberFormat="1" applyFont="1" applyFill="1" applyBorder="1" applyAlignment="1" applyProtection="1">
      <alignment horizontal="right"/>
      <protection locked="0"/>
    </xf>
    <xf numFmtId="172" fontId="11" fillId="0" borderId="0" xfId="42" applyNumberFormat="1" applyFont="1" applyFill="1" applyBorder="1" applyAlignment="1" applyProtection="1">
      <alignment horizontal="right" vertical="center" wrapText="1"/>
      <protection locked="0"/>
    </xf>
    <xf numFmtId="172" fontId="11" fillId="0" borderId="0" xfId="42" applyNumberFormat="1" applyFont="1" applyFill="1" applyBorder="1" applyAlignment="1" applyProtection="1">
      <alignment horizontal="right" wrapText="1"/>
      <protection locked="0"/>
    </xf>
    <xf numFmtId="172" fontId="12" fillId="0" borderId="0" xfId="42" applyNumberFormat="1" applyFont="1" applyFill="1" applyBorder="1" applyAlignment="1" applyProtection="1">
      <alignment horizontal="right" vertical="center" wrapText="1"/>
      <protection locked="0"/>
    </xf>
    <xf numFmtId="172" fontId="14" fillId="0" borderId="0" xfId="42" applyNumberFormat="1" applyFont="1" applyFill="1" applyBorder="1" applyAlignment="1" applyProtection="1">
      <alignment horizontal="right" wrapText="1"/>
      <protection locked="0"/>
    </xf>
    <xf numFmtId="0" fontId="14" fillId="33" borderId="0" xfId="0" applyFont="1" applyFill="1" applyBorder="1" applyAlignment="1" applyProtection="1">
      <alignment horizontal="left"/>
      <protection locked="0"/>
    </xf>
    <xf numFmtId="0" fontId="16" fillId="8" borderId="18" xfId="0" applyFont="1" applyFill="1" applyBorder="1" applyAlignment="1" applyProtection="1">
      <alignment horizontal="left" wrapText="1"/>
      <protection locked="0"/>
    </xf>
    <xf numFmtId="0" fontId="19" fillId="0" borderId="10" xfId="0" applyFont="1" applyFill="1" applyBorder="1" applyAlignment="1" applyProtection="1">
      <alignment horizontal="left"/>
      <protection locked="0"/>
    </xf>
    <xf numFmtId="0" fontId="18" fillId="8" borderId="10" xfId="0" applyFont="1" applyFill="1" applyBorder="1" applyAlignment="1" applyProtection="1">
      <alignment horizontal="left"/>
      <protection locked="0"/>
    </xf>
    <xf numFmtId="0" fontId="14" fillId="0" borderId="0" xfId="0" applyFont="1" applyFill="1" applyBorder="1" applyAlignment="1" applyProtection="1">
      <alignment horizontal="left"/>
      <protection locked="0"/>
    </xf>
    <xf numFmtId="0" fontId="11" fillId="0" borderId="19" xfId="0" applyFont="1" applyFill="1" applyBorder="1" applyAlignment="1" applyProtection="1">
      <alignment vertical="center" wrapText="1"/>
      <protection/>
    </xf>
    <xf numFmtId="0" fontId="11" fillId="0" borderId="31" xfId="0" applyFont="1" applyFill="1" applyBorder="1" applyAlignment="1" applyProtection="1">
      <alignment vertical="center" wrapText="1"/>
      <protection/>
    </xf>
    <xf numFmtId="0" fontId="16" fillId="8" borderId="34" xfId="0" applyFont="1" applyFill="1" applyBorder="1" applyAlignment="1" applyProtection="1">
      <alignment vertical="center" wrapText="1"/>
      <protection locked="0"/>
    </xf>
    <xf numFmtId="0" fontId="19" fillId="0" borderId="10" xfId="0" applyFont="1" applyFill="1" applyBorder="1" applyAlignment="1" applyProtection="1">
      <alignment horizontal="left" vertical="top" wrapText="1"/>
      <protection locked="0"/>
    </xf>
    <xf numFmtId="0" fontId="19" fillId="0" borderId="10" xfId="0" applyFont="1" applyFill="1" applyBorder="1" applyAlignment="1" applyProtection="1">
      <alignment horizontal="center" vertical="top"/>
      <protection locked="0"/>
    </xf>
    <xf numFmtId="172" fontId="16" fillId="2" borderId="10" xfId="42" applyNumberFormat="1" applyFont="1" applyFill="1" applyBorder="1" applyAlignment="1" applyProtection="1">
      <alignment horizontal="right" vertical="top"/>
      <protection locked="0"/>
    </xf>
    <xf numFmtId="172" fontId="12" fillId="2" borderId="10" xfId="42" applyNumberFormat="1" applyFont="1" applyFill="1" applyBorder="1" applyAlignment="1" applyProtection="1">
      <alignment horizontal="right" vertical="top"/>
      <protection locked="0"/>
    </xf>
    <xf numFmtId="172" fontId="16" fillId="34" borderId="10" xfId="0" applyNumberFormat="1" applyFont="1" applyFill="1" applyBorder="1" applyAlignment="1" applyProtection="1">
      <alignment horizontal="right" vertical="top"/>
      <protection locked="0"/>
    </xf>
    <xf numFmtId="0" fontId="16" fillId="0" borderId="10" xfId="0" applyFont="1" applyFill="1" applyBorder="1" applyAlignment="1" applyProtection="1">
      <alignment horizontal="right" vertical="top"/>
      <protection locked="0"/>
    </xf>
    <xf numFmtId="43" fontId="5" fillId="0" borderId="18" xfId="0" applyNumberFormat="1" applyFont="1" applyFill="1" applyBorder="1" applyAlignment="1" applyProtection="1">
      <alignment horizontal="right"/>
      <protection locked="0"/>
    </xf>
    <xf numFmtId="0" fontId="5" fillId="8" borderId="18" xfId="0" applyFont="1" applyFill="1" applyBorder="1" applyAlignment="1" applyProtection="1">
      <alignment horizontal="center" vertical="center" wrapText="1"/>
      <protection locked="0"/>
    </xf>
    <xf numFmtId="172" fontId="5" fillId="0" borderId="26" xfId="44" applyNumberFormat="1" applyFont="1" applyFill="1" applyBorder="1" applyAlignment="1" applyProtection="1">
      <alignment horizontal="center" vertical="center"/>
      <protection locked="0"/>
    </xf>
    <xf numFmtId="172" fontId="5" fillId="0" borderId="31" xfId="44" applyNumberFormat="1" applyFont="1" applyFill="1" applyBorder="1" applyAlignment="1" applyProtection="1">
      <alignment horizontal="center" vertical="center"/>
      <protection locked="0"/>
    </xf>
    <xf numFmtId="172" fontId="5" fillId="0" borderId="36" xfId="44" applyNumberFormat="1" applyFont="1" applyFill="1" applyBorder="1" applyAlignment="1" applyProtection="1">
      <alignment horizontal="center" vertical="center"/>
      <protection locked="0"/>
    </xf>
    <xf numFmtId="172" fontId="5" fillId="8" borderId="21" xfId="44" applyNumberFormat="1" applyFont="1" applyFill="1" applyBorder="1" applyAlignment="1" applyProtection="1">
      <alignment horizontal="center" wrapText="1"/>
      <protection locked="0"/>
    </xf>
    <xf numFmtId="0" fontId="4" fillId="8" borderId="33" xfId="0" applyFont="1" applyFill="1" applyBorder="1" applyAlignment="1" applyProtection="1">
      <alignment horizontal="center" vertical="center" wrapText="1"/>
      <protection locked="0"/>
    </xf>
    <xf numFmtId="0" fontId="4" fillId="8" borderId="18" xfId="0" applyFont="1" applyFill="1" applyBorder="1" applyAlignment="1" applyProtection="1">
      <alignment horizontal="center" vertical="center" wrapText="1"/>
      <protection locked="0"/>
    </xf>
    <xf numFmtId="0" fontId="4" fillId="8" borderId="25" xfId="0" applyFont="1" applyFill="1" applyBorder="1" applyAlignment="1" applyProtection="1">
      <alignment horizontal="center" vertical="center" wrapText="1"/>
      <protection locked="0"/>
    </xf>
    <xf numFmtId="172" fontId="4" fillId="8" borderId="40" xfId="44" applyNumberFormat="1" applyFont="1" applyFill="1" applyBorder="1" applyAlignment="1" applyProtection="1">
      <alignment horizontal="center" wrapText="1"/>
      <protection locked="0"/>
    </xf>
    <xf numFmtId="172" fontId="4" fillId="8" borderId="30" xfId="44" applyNumberFormat="1" applyFont="1" applyFill="1" applyBorder="1" applyAlignment="1" applyProtection="1">
      <alignment horizontal="center" wrapText="1"/>
      <protection locked="0"/>
    </xf>
    <xf numFmtId="172" fontId="4" fillId="8" borderId="41" xfId="44" applyNumberFormat="1" applyFont="1" applyFill="1" applyBorder="1" applyAlignment="1" applyProtection="1">
      <alignment horizontal="center" wrapText="1"/>
      <protection locked="0"/>
    </xf>
    <xf numFmtId="0" fontId="4" fillId="8" borderId="20" xfId="0" applyFont="1" applyFill="1" applyBorder="1" applyAlignment="1" applyProtection="1">
      <alignment horizontal="center" vertical="center" wrapText="1"/>
      <protection locked="0"/>
    </xf>
    <xf numFmtId="172" fontId="5" fillId="17" borderId="0" xfId="44" applyNumberFormat="1" applyFont="1" applyFill="1" applyBorder="1" applyAlignment="1" applyProtection="1">
      <alignment horizontal="right" wrapText="1"/>
      <protection locked="0"/>
    </xf>
    <xf numFmtId="172" fontId="100" fillId="0" borderId="0" xfId="44" applyNumberFormat="1" applyFont="1" applyFill="1" applyBorder="1" applyAlignment="1" applyProtection="1">
      <alignment horizontal="right" wrapText="1"/>
      <protection locked="0"/>
    </xf>
    <xf numFmtId="0" fontId="98" fillId="0" borderId="10" xfId="0" applyFont="1" applyFill="1" applyBorder="1" applyAlignment="1" applyProtection="1">
      <alignment horizontal="left" vertical="top" wrapText="1"/>
      <protection/>
    </xf>
    <xf numFmtId="172" fontId="5" fillId="8" borderId="10" xfId="44" applyNumberFormat="1" applyFont="1" applyFill="1" applyBorder="1" applyAlignment="1" applyProtection="1">
      <alignment wrapText="1"/>
      <protection locked="0"/>
    </xf>
    <xf numFmtId="172" fontId="3" fillId="33" borderId="0" xfId="44" applyNumberFormat="1" applyFont="1" applyFill="1" applyBorder="1" applyAlignment="1" applyProtection="1">
      <alignment horizontal="center" wrapText="1"/>
      <protection locked="0"/>
    </xf>
    <xf numFmtId="172" fontId="3" fillId="0" borderId="0" xfId="44" applyNumberFormat="1" applyFont="1" applyFill="1" applyBorder="1" applyAlignment="1" applyProtection="1">
      <alignment horizontal="center" wrapText="1"/>
      <protection locked="0"/>
    </xf>
    <xf numFmtId="172" fontId="5" fillId="17" borderId="0" xfId="44" applyNumberFormat="1" applyFont="1" applyFill="1" applyBorder="1" applyAlignment="1" applyProtection="1">
      <alignment horizontal="center" wrapText="1"/>
      <protection locked="0"/>
    </xf>
    <xf numFmtId="0" fontId="100" fillId="33" borderId="0" xfId="0" applyFont="1" applyFill="1" applyBorder="1" applyAlignment="1" applyProtection="1">
      <alignment/>
      <protection locked="0"/>
    </xf>
    <xf numFmtId="3" fontId="4" fillId="0" borderId="15" xfId="44" applyNumberFormat="1" applyFont="1" applyFill="1" applyBorder="1" applyAlignment="1" applyProtection="1">
      <alignment vertical="center"/>
      <protection locked="0"/>
    </xf>
    <xf numFmtId="3" fontId="4" fillId="0" borderId="0" xfId="0" applyNumberFormat="1" applyFont="1" applyFill="1" applyBorder="1" applyAlignment="1" applyProtection="1">
      <alignment/>
      <protection locked="0"/>
    </xf>
    <xf numFmtId="0" fontId="12" fillId="33" borderId="38" xfId="0" applyFont="1" applyFill="1" applyBorder="1" applyAlignment="1">
      <alignment horizontal="center" vertical="center"/>
    </xf>
    <xf numFmtId="172" fontId="5" fillId="13" borderId="19" xfId="44" applyNumberFormat="1" applyFont="1" applyFill="1" applyBorder="1" applyAlignment="1" applyProtection="1">
      <alignment vertical="center"/>
      <protection locked="0"/>
    </xf>
    <xf numFmtId="0" fontId="4" fillId="0" borderId="10" xfId="0" applyFont="1" applyFill="1" applyBorder="1" applyAlignment="1" applyProtection="1">
      <alignment/>
      <protection locked="0"/>
    </xf>
    <xf numFmtId="0" fontId="6" fillId="0" borderId="10" xfId="0" applyFont="1" applyFill="1" applyBorder="1" applyAlignment="1" applyProtection="1">
      <alignment/>
      <protection locked="0"/>
    </xf>
    <xf numFmtId="172" fontId="3" fillId="38" borderId="0" xfId="44" applyNumberFormat="1" applyFont="1" applyFill="1" applyBorder="1" applyAlignment="1" applyProtection="1">
      <alignment horizontal="right" wrapText="1"/>
      <protection locked="0"/>
    </xf>
    <xf numFmtId="172" fontId="10" fillId="38" borderId="0" xfId="44" applyNumberFormat="1" applyFont="1" applyFill="1" applyBorder="1" applyAlignment="1" applyProtection="1">
      <alignment horizontal="right" wrapText="1"/>
      <protection locked="0"/>
    </xf>
    <xf numFmtId="172" fontId="20" fillId="33" borderId="0" xfId="44" applyNumberFormat="1" applyFont="1" applyFill="1" applyBorder="1" applyAlignment="1" applyProtection="1">
      <alignment horizontal="center" vertical="center" wrapText="1"/>
      <protection locked="0"/>
    </xf>
    <xf numFmtId="172" fontId="21" fillId="33" borderId="0" xfId="44" applyNumberFormat="1" applyFont="1" applyFill="1" applyBorder="1" applyAlignment="1" applyProtection="1">
      <alignment horizontal="center" vertical="center" wrapText="1"/>
      <protection locked="0"/>
    </xf>
    <xf numFmtId="0" fontId="23" fillId="39" borderId="38" xfId="0" applyFont="1" applyFill="1" applyBorder="1" applyAlignment="1" applyProtection="1">
      <alignment vertical="center" wrapText="1"/>
      <protection locked="0"/>
    </xf>
    <xf numFmtId="43" fontId="24" fillId="33" borderId="10" xfId="42" applyFont="1" applyFill="1" applyBorder="1" applyAlignment="1" applyProtection="1">
      <alignment horizontal="center" vertical="center" wrapText="1"/>
      <protection/>
    </xf>
    <xf numFmtId="0" fontId="15" fillId="33" borderId="10" xfId="58" applyFont="1" applyFill="1" applyBorder="1" applyAlignment="1" applyProtection="1">
      <alignment vertical="center" wrapText="1"/>
      <protection/>
    </xf>
    <xf numFmtId="0" fontId="24" fillId="33" borderId="10" xfId="0" applyFont="1" applyFill="1" applyBorder="1" applyAlignment="1" applyProtection="1">
      <alignment vertical="center" wrapText="1"/>
      <protection/>
    </xf>
    <xf numFmtId="43" fontId="24" fillId="33" borderId="10" xfId="42" applyFont="1" applyFill="1" applyBorder="1" applyAlignment="1" applyProtection="1">
      <alignment horizontal="left" vertical="center" wrapText="1"/>
      <protection/>
    </xf>
    <xf numFmtId="0" fontId="106" fillId="33" borderId="10" xfId="0" applyFont="1" applyFill="1" applyBorder="1" applyAlignment="1" applyProtection="1">
      <alignment vertical="center" wrapText="1"/>
      <protection/>
    </xf>
    <xf numFmtId="43" fontId="107" fillId="40" borderId="10" xfId="42" applyFont="1" applyFill="1" applyBorder="1" applyAlignment="1" applyProtection="1">
      <alignment horizontal="center" vertical="center"/>
      <protection locked="0"/>
    </xf>
    <xf numFmtId="0" fontId="24" fillId="39" borderId="10" xfId="0" applyFont="1" applyFill="1" applyBorder="1" applyAlignment="1" applyProtection="1">
      <alignment vertical="center" wrapText="1"/>
      <protection/>
    </xf>
    <xf numFmtId="43" fontId="25" fillId="33" borderId="10" xfId="42" applyFont="1" applyFill="1" applyBorder="1" applyAlignment="1" applyProtection="1">
      <alignment horizontal="center" vertical="center"/>
      <protection locked="0"/>
    </xf>
    <xf numFmtId="43" fontId="23" fillId="33" borderId="10" xfId="42" applyFont="1" applyFill="1" applyBorder="1" applyAlignment="1" applyProtection="1">
      <alignment horizontal="center" vertical="center"/>
      <protection locked="0"/>
    </xf>
    <xf numFmtId="0" fontId="24" fillId="40" borderId="10" xfId="0" applyFont="1" applyFill="1" applyBorder="1" applyAlignment="1" applyProtection="1">
      <alignment vertical="center" wrapText="1"/>
      <protection/>
    </xf>
    <xf numFmtId="43" fontId="25" fillId="40" borderId="10" xfId="42" applyFont="1" applyFill="1" applyBorder="1" applyAlignment="1" applyProtection="1">
      <alignment horizontal="center" vertical="center"/>
      <protection locked="0"/>
    </xf>
    <xf numFmtId="0" fontId="15" fillId="39" borderId="10" xfId="0" applyFont="1" applyFill="1" applyBorder="1" applyAlignment="1" applyProtection="1">
      <alignment horizontal="left" vertical="center" wrapText="1"/>
      <protection/>
    </xf>
    <xf numFmtId="0" fontId="24" fillId="33" borderId="13" xfId="0" applyFont="1" applyFill="1" applyBorder="1" applyAlignment="1" applyProtection="1">
      <alignment horizontal="center" vertical="center" wrapText="1"/>
      <protection/>
    </xf>
    <xf numFmtId="0" fontId="24" fillId="33" borderId="19" xfId="0" applyFont="1" applyFill="1" applyBorder="1" applyAlignment="1" applyProtection="1">
      <alignment vertical="center" wrapText="1"/>
      <protection/>
    </xf>
    <xf numFmtId="0" fontId="15" fillId="39" borderId="10" xfId="0" applyFont="1" applyFill="1" applyBorder="1" applyAlignment="1" applyProtection="1">
      <alignment vertical="center" wrapText="1"/>
      <protection/>
    </xf>
    <xf numFmtId="0" fontId="15" fillId="40" borderId="10" xfId="0" applyFont="1" applyFill="1" applyBorder="1" applyAlignment="1" applyProtection="1">
      <alignment horizontal="left" vertical="center" wrapText="1"/>
      <protection/>
    </xf>
    <xf numFmtId="0" fontId="22" fillId="39" borderId="10" xfId="0" applyFont="1" applyFill="1" applyBorder="1" applyAlignment="1" applyProtection="1">
      <alignment vertical="center"/>
      <protection locked="0"/>
    </xf>
    <xf numFmtId="43" fontId="22" fillId="39" borderId="10" xfId="42" applyFont="1" applyFill="1" applyBorder="1" applyAlignment="1" applyProtection="1">
      <alignment horizontal="center" vertical="center"/>
      <protection locked="0"/>
    </xf>
    <xf numFmtId="43" fontId="22" fillId="34" borderId="10" xfId="42" applyFont="1" applyFill="1" applyBorder="1" applyAlignment="1" applyProtection="1">
      <alignment horizontal="center" vertical="center"/>
      <protection locked="0"/>
    </xf>
    <xf numFmtId="0" fontId="21" fillId="33" borderId="0" xfId="0" applyFont="1" applyFill="1" applyBorder="1" applyAlignment="1" applyProtection="1">
      <alignment vertical="center"/>
      <protection locked="0"/>
    </xf>
    <xf numFmtId="0" fontId="108" fillId="33" borderId="0" xfId="0" applyFont="1" applyFill="1" applyBorder="1" applyAlignment="1" applyProtection="1">
      <alignment horizontal="left" vertical="center"/>
      <protection locked="0"/>
    </xf>
    <xf numFmtId="0" fontId="108" fillId="33" borderId="0" xfId="0" applyFont="1" applyFill="1" applyBorder="1" applyAlignment="1" applyProtection="1">
      <alignment vertical="center"/>
      <protection locked="0"/>
    </xf>
    <xf numFmtId="43" fontId="21" fillId="33" borderId="0" xfId="42" applyFont="1" applyFill="1" applyBorder="1" applyAlignment="1" applyProtection="1">
      <alignment horizontal="center" vertical="center"/>
      <protection locked="0"/>
    </xf>
    <xf numFmtId="9" fontId="20" fillId="33" borderId="0" xfId="62" applyFont="1" applyFill="1" applyBorder="1" applyAlignment="1" applyProtection="1">
      <alignment horizontal="center" vertical="center" wrapText="1"/>
      <protection locked="0"/>
    </xf>
    <xf numFmtId="9" fontId="21" fillId="33" borderId="0" xfId="62" applyFont="1" applyFill="1" applyBorder="1" applyAlignment="1" applyProtection="1">
      <alignment horizontal="center" vertical="center" wrapText="1"/>
      <protection locked="0"/>
    </xf>
    <xf numFmtId="43" fontId="21" fillId="33" borderId="10" xfId="42" applyFont="1" applyFill="1" applyBorder="1" applyAlignment="1" applyProtection="1">
      <alignment horizontal="center" vertical="center"/>
      <protection locked="0"/>
    </xf>
    <xf numFmtId="43" fontId="21" fillId="16" borderId="0" xfId="42" applyFont="1" applyFill="1" applyBorder="1" applyAlignment="1" applyProtection="1">
      <alignment horizontal="center" vertical="center"/>
      <protection locked="0"/>
    </xf>
    <xf numFmtId="172" fontId="20" fillId="33" borderId="10" xfId="44" applyNumberFormat="1" applyFont="1" applyFill="1" applyBorder="1" applyAlignment="1" applyProtection="1">
      <alignment horizontal="center" vertical="center" wrapText="1"/>
      <protection locked="0"/>
    </xf>
    <xf numFmtId="9" fontId="20" fillId="33" borderId="10" xfId="62" applyFont="1" applyFill="1" applyBorder="1" applyAlignment="1" applyProtection="1">
      <alignment horizontal="center" vertical="center" wrapText="1"/>
      <protection locked="0"/>
    </xf>
    <xf numFmtId="0" fontId="16" fillId="8" borderId="10" xfId="0" applyFont="1" applyFill="1" applyBorder="1" applyAlignment="1" applyProtection="1">
      <alignment horizontal="center" vertical="center" wrapText="1"/>
      <protection locked="0"/>
    </xf>
    <xf numFmtId="0" fontId="16" fillId="33" borderId="10" xfId="0" applyFont="1" applyFill="1" applyBorder="1" applyAlignment="1" applyProtection="1">
      <alignment horizontal="center" vertical="center" wrapText="1"/>
      <protection locked="0"/>
    </xf>
    <xf numFmtId="0" fontId="24" fillId="33" borderId="13" xfId="0" applyFont="1" applyFill="1" applyBorder="1" applyAlignment="1" applyProtection="1">
      <alignment horizontal="center" vertical="center" wrapText="1"/>
      <protection/>
    </xf>
    <xf numFmtId="0" fontId="24" fillId="33" borderId="10" xfId="0" applyFont="1" applyFill="1" applyBorder="1" applyAlignment="1" applyProtection="1">
      <alignment horizontal="left" vertical="center" wrapText="1"/>
      <protection/>
    </xf>
    <xf numFmtId="0" fontId="24" fillId="33" borderId="19" xfId="0" applyFont="1" applyFill="1" applyBorder="1" applyAlignment="1" applyProtection="1">
      <alignment vertical="center" wrapText="1"/>
      <protection/>
    </xf>
    <xf numFmtId="0" fontId="24" fillId="33" borderId="19" xfId="0" applyFont="1" applyFill="1" applyBorder="1" applyAlignment="1" applyProtection="1">
      <alignment horizontal="left" vertical="center" wrapText="1"/>
      <protection/>
    </xf>
    <xf numFmtId="0" fontId="24" fillId="33" borderId="13" xfId="0" applyFont="1" applyFill="1" applyBorder="1" applyAlignment="1" applyProtection="1">
      <alignment horizontal="left" vertical="center" wrapText="1"/>
      <protection/>
    </xf>
    <xf numFmtId="0" fontId="24" fillId="33" borderId="31" xfId="0" applyFont="1" applyFill="1" applyBorder="1" applyAlignment="1" applyProtection="1">
      <alignment horizontal="left" vertical="center" wrapText="1"/>
      <protection/>
    </xf>
    <xf numFmtId="0" fontId="24" fillId="33" borderId="10" xfId="0" applyFont="1" applyFill="1" applyBorder="1" applyAlignment="1" applyProtection="1">
      <alignment horizontal="center" vertical="center" wrapText="1"/>
      <protection/>
    </xf>
    <xf numFmtId="0" fontId="3" fillId="0" borderId="10" xfId="0" applyFont="1" applyFill="1" applyBorder="1" applyAlignment="1" applyProtection="1">
      <alignment horizontal="center" vertical="center" wrapText="1"/>
      <protection/>
    </xf>
    <xf numFmtId="43" fontId="11" fillId="33" borderId="0" xfId="44" applyFont="1" applyFill="1" applyBorder="1" applyAlignment="1" applyProtection="1">
      <alignment horizontal="right" wrapText="1"/>
      <protection locked="0"/>
    </xf>
    <xf numFmtId="43" fontId="16" fillId="0" borderId="10" xfId="44" applyFont="1" applyFill="1" applyBorder="1" applyAlignment="1" applyProtection="1">
      <alignment vertical="center"/>
      <protection locked="0"/>
    </xf>
    <xf numFmtId="43" fontId="12" fillId="33" borderId="10" xfId="44" applyFont="1" applyFill="1" applyBorder="1" applyAlignment="1">
      <alignment horizontal="center" vertical="center"/>
    </xf>
    <xf numFmtId="43" fontId="11" fillId="0" borderId="0" xfId="44" applyFont="1" applyFill="1" applyBorder="1" applyAlignment="1" applyProtection="1">
      <alignment horizontal="right" wrapText="1"/>
      <protection locked="0"/>
    </xf>
    <xf numFmtId="0" fontId="11" fillId="0" borderId="19" xfId="0" applyFont="1" applyFill="1" applyBorder="1" applyAlignment="1" applyProtection="1">
      <alignment vertical="top" wrapText="1"/>
      <protection/>
    </xf>
    <xf numFmtId="172" fontId="16" fillId="33" borderId="10" xfId="42" applyNumberFormat="1" applyFont="1" applyFill="1" applyBorder="1" applyAlignment="1" applyProtection="1">
      <alignment horizontal="right"/>
      <protection locked="0"/>
    </xf>
    <xf numFmtId="0" fontId="16" fillId="33" borderId="10" xfId="0" applyFont="1" applyFill="1" applyBorder="1" applyAlignment="1" applyProtection="1">
      <alignment horizontal="right"/>
      <protection locked="0"/>
    </xf>
    <xf numFmtId="0" fontId="12" fillId="34" borderId="18" xfId="0" applyFont="1" applyFill="1" applyBorder="1" applyAlignment="1">
      <alignment horizontal="center" vertical="center"/>
    </xf>
    <xf numFmtId="0" fontId="21" fillId="33" borderId="0" xfId="0" applyFont="1" applyFill="1" applyBorder="1" applyAlignment="1" applyProtection="1">
      <alignment horizontal="center" vertical="center"/>
      <protection locked="0"/>
    </xf>
    <xf numFmtId="0" fontId="21" fillId="33" borderId="10" xfId="0" applyFont="1" applyFill="1" applyBorder="1" applyAlignment="1" applyProtection="1">
      <alignment horizontal="center" vertical="center"/>
      <protection locked="0"/>
    </xf>
    <xf numFmtId="0" fontId="16" fillId="9" borderId="42" xfId="0" applyFont="1" applyFill="1" applyBorder="1" applyAlignment="1" applyProtection="1">
      <alignment horizontal="center" vertical="center" wrapText="1"/>
      <protection locked="0"/>
    </xf>
    <xf numFmtId="0" fontId="16" fillId="9" borderId="38" xfId="0" applyFont="1" applyFill="1" applyBorder="1" applyAlignment="1" applyProtection="1">
      <alignment horizontal="center" vertical="center" wrapText="1"/>
      <protection locked="0"/>
    </xf>
    <xf numFmtId="0" fontId="11" fillId="9" borderId="38" xfId="0" applyFont="1" applyFill="1" applyBorder="1" applyAlignment="1" applyProtection="1">
      <alignment horizontal="left" vertical="top" wrapText="1"/>
      <protection/>
    </xf>
    <xf numFmtId="0" fontId="11" fillId="9" borderId="38" xfId="0" applyFont="1" applyFill="1" applyBorder="1" applyAlignment="1" applyProtection="1">
      <alignment horizontal="center" vertical="center" wrapText="1"/>
      <protection locked="0"/>
    </xf>
    <xf numFmtId="0" fontId="16" fillId="9" borderId="10" xfId="0" applyFont="1" applyFill="1" applyBorder="1" applyAlignment="1" applyProtection="1">
      <alignment horizontal="center" vertical="center" wrapText="1"/>
      <protection locked="0"/>
    </xf>
    <xf numFmtId="0" fontId="12" fillId="9" borderId="10" xfId="0" applyFont="1" applyFill="1" applyBorder="1" applyAlignment="1">
      <alignment horizontal="center" vertical="center"/>
    </xf>
    <xf numFmtId="172" fontId="16" fillId="9" borderId="10" xfId="0" applyNumberFormat="1" applyFont="1" applyFill="1" applyBorder="1" applyAlignment="1" applyProtection="1">
      <alignment horizontal="right"/>
      <protection locked="0"/>
    </xf>
    <xf numFmtId="172" fontId="12" fillId="9" borderId="10" xfId="44" applyNumberFormat="1" applyFont="1" applyFill="1" applyBorder="1" applyAlignment="1" applyProtection="1">
      <alignment horizontal="right" vertical="center"/>
      <protection locked="0"/>
    </xf>
    <xf numFmtId="0" fontId="3" fillId="0" borderId="14" xfId="0" applyFont="1" applyBorder="1" applyAlignment="1">
      <alignment wrapText="1"/>
    </xf>
    <xf numFmtId="0" fontId="3" fillId="0" borderId="11" xfId="0" applyFont="1" applyBorder="1" applyAlignment="1">
      <alignment wrapText="1"/>
    </xf>
    <xf numFmtId="43" fontId="24" fillId="33" borderId="19" xfId="42" applyFont="1" applyFill="1" applyBorder="1" applyAlignment="1" applyProtection="1">
      <alignment horizontal="center" vertical="center" wrapText="1"/>
      <protection/>
    </xf>
    <xf numFmtId="43" fontId="25" fillId="33" borderId="13" xfId="42" applyFont="1" applyFill="1" applyBorder="1" applyAlignment="1" applyProtection="1">
      <alignment horizontal="center" vertical="center"/>
      <protection locked="0"/>
    </xf>
    <xf numFmtId="0" fontId="24" fillId="33" borderId="14" xfId="0" applyFont="1" applyFill="1" applyBorder="1" applyAlignment="1" applyProtection="1">
      <alignment horizontal="left" vertical="center" wrapText="1"/>
      <protection/>
    </xf>
    <xf numFmtId="43" fontId="24" fillId="33" borderId="14" xfId="42" applyFont="1" applyFill="1" applyBorder="1" applyAlignment="1" applyProtection="1">
      <alignment horizontal="center" vertical="center" wrapText="1"/>
      <protection/>
    </xf>
    <xf numFmtId="43" fontId="24" fillId="33" borderId="22" xfId="42" applyFont="1" applyFill="1" applyBorder="1" applyAlignment="1" applyProtection="1">
      <alignment horizontal="center" vertical="center" wrapText="1"/>
      <protection/>
    </xf>
    <xf numFmtId="43" fontId="24" fillId="33" borderId="21" xfId="42" applyFont="1" applyFill="1" applyBorder="1" applyAlignment="1" applyProtection="1">
      <alignment horizontal="center" vertical="center" wrapText="1"/>
      <protection/>
    </xf>
    <xf numFmtId="43" fontId="24" fillId="34" borderId="21" xfId="42" applyFont="1" applyFill="1" applyBorder="1" applyAlignment="1" applyProtection="1">
      <alignment horizontal="center" vertical="center" wrapText="1"/>
      <protection/>
    </xf>
    <xf numFmtId="0" fontId="24" fillId="33" borderId="11" xfId="0" applyFont="1" applyFill="1" applyBorder="1" applyAlignment="1" applyProtection="1">
      <alignment horizontal="left" vertical="center" wrapText="1"/>
      <protection/>
    </xf>
    <xf numFmtId="43" fontId="24" fillId="33" borderId="11" xfId="42" applyFont="1" applyFill="1" applyBorder="1" applyAlignment="1" applyProtection="1">
      <alignment horizontal="center" vertical="center" wrapText="1"/>
      <protection/>
    </xf>
    <xf numFmtId="43" fontId="24" fillId="33" borderId="43" xfId="42" applyFont="1" applyFill="1" applyBorder="1" applyAlignment="1" applyProtection="1">
      <alignment horizontal="center" vertical="center" wrapText="1"/>
      <protection/>
    </xf>
    <xf numFmtId="0" fontId="109" fillId="8" borderId="10" xfId="0" applyFont="1" applyFill="1" applyBorder="1" applyAlignment="1" applyProtection="1">
      <alignment vertical="center"/>
      <protection locked="0"/>
    </xf>
    <xf numFmtId="0" fontId="109" fillId="8" borderId="10" xfId="0" applyFont="1" applyFill="1" applyBorder="1" applyAlignment="1" applyProtection="1">
      <alignment/>
      <protection locked="0"/>
    </xf>
    <xf numFmtId="0" fontId="110" fillId="8" borderId="10" xfId="0" applyFont="1" applyFill="1" applyBorder="1" applyAlignment="1" applyProtection="1">
      <alignment vertical="center"/>
      <protection locked="0"/>
    </xf>
    <xf numFmtId="0" fontId="109" fillId="8" borderId="10" xfId="0" applyFont="1" applyFill="1" applyBorder="1" applyAlignment="1" applyProtection="1">
      <alignment horizontal="center"/>
      <protection locked="0"/>
    </xf>
    <xf numFmtId="172" fontId="109" fillId="8" borderId="10" xfId="42" applyNumberFormat="1" applyFont="1" applyFill="1" applyBorder="1" applyAlignment="1" applyProtection="1">
      <alignment horizontal="right"/>
      <protection locked="0"/>
    </xf>
    <xf numFmtId="0" fontId="109" fillId="8" borderId="10" xfId="0" applyFont="1" applyFill="1" applyBorder="1" applyAlignment="1" applyProtection="1">
      <alignment horizontal="right"/>
      <protection locked="0"/>
    </xf>
    <xf numFmtId="172" fontId="111" fillId="34" borderId="10" xfId="0" applyNumberFormat="1" applyFont="1" applyFill="1" applyBorder="1" applyAlignment="1" applyProtection="1">
      <alignment horizontal="right"/>
      <protection locked="0"/>
    </xf>
    <xf numFmtId="43" fontId="110" fillId="0" borderId="0" xfId="42" applyFont="1" applyFill="1" applyBorder="1" applyAlignment="1" applyProtection="1">
      <alignment/>
      <protection locked="0"/>
    </xf>
    <xf numFmtId="0" fontId="110" fillId="0" borderId="0" xfId="0" applyFont="1" applyFill="1" applyBorder="1" applyAlignment="1" applyProtection="1">
      <alignment/>
      <protection locked="0"/>
    </xf>
    <xf numFmtId="0" fontId="5" fillId="9" borderId="10" xfId="0" applyFont="1" applyFill="1" applyBorder="1" applyAlignment="1" applyProtection="1">
      <alignment horizontal="center" vertical="center" wrapText="1"/>
      <protection locked="0"/>
    </xf>
    <xf numFmtId="0" fontId="3" fillId="9" borderId="10" xfId="0" applyFont="1" applyFill="1" applyBorder="1" applyAlignment="1" applyProtection="1">
      <alignment horizontal="center" vertical="center" wrapText="1"/>
      <protection/>
    </xf>
    <xf numFmtId="0" fontId="3" fillId="9" borderId="10" xfId="0" applyFont="1" applyFill="1" applyBorder="1" applyAlignment="1" applyProtection="1">
      <alignment horizontal="left" vertical="center" wrapText="1"/>
      <protection/>
    </xf>
    <xf numFmtId="0" fontId="11" fillId="15" borderId="0" xfId="0" applyFont="1" applyFill="1" applyBorder="1" applyAlignment="1" applyProtection="1">
      <alignment horizontal="left" vertical="top" wrapText="1"/>
      <protection/>
    </xf>
    <xf numFmtId="0" fontId="11" fillId="15" borderId="44" xfId="0" applyFont="1" applyFill="1" applyBorder="1" applyAlignment="1" applyProtection="1">
      <alignment horizontal="left" vertical="top" wrapText="1"/>
      <protection/>
    </xf>
    <xf numFmtId="172" fontId="5" fillId="15" borderId="10" xfId="0" applyNumberFormat="1" applyFont="1" applyFill="1" applyBorder="1" applyAlignment="1" applyProtection="1">
      <alignment horizontal="right"/>
      <protection locked="0"/>
    </xf>
    <xf numFmtId="172" fontId="5" fillId="15" borderId="18" xfId="44" applyNumberFormat="1" applyFont="1" applyFill="1" applyBorder="1" applyAlignment="1" applyProtection="1">
      <alignment horizontal="right"/>
      <protection locked="0"/>
    </xf>
    <xf numFmtId="3" fontId="9" fillId="8" borderId="45" xfId="0" applyNumberFormat="1" applyFont="1" applyFill="1" applyBorder="1" applyAlignment="1">
      <alignment horizontal="center" vertical="center"/>
    </xf>
    <xf numFmtId="3" fontId="9" fillId="8" borderId="28" xfId="0" applyNumberFormat="1" applyFont="1" applyFill="1" applyBorder="1" applyAlignment="1">
      <alignment horizontal="center" vertical="center"/>
    </xf>
    <xf numFmtId="3" fontId="9" fillId="8" borderId="41" xfId="0" applyNumberFormat="1" applyFont="1" applyFill="1" applyBorder="1" applyAlignment="1">
      <alignment horizontal="center" vertical="center"/>
    </xf>
    <xf numFmtId="0" fontId="4" fillId="15" borderId="10" xfId="0" applyFont="1" applyFill="1" applyBorder="1" applyAlignment="1" applyProtection="1">
      <alignment horizontal="center" vertical="center" wrapText="1"/>
      <protection locked="0"/>
    </xf>
    <xf numFmtId="0" fontId="11" fillId="15" borderId="10" xfId="0" applyFont="1" applyFill="1" applyBorder="1" applyAlignment="1" applyProtection="1">
      <alignment horizontal="left" vertical="top" wrapText="1"/>
      <protection/>
    </xf>
    <xf numFmtId="0" fontId="5" fillId="15" borderId="10" xfId="0" applyFont="1" applyFill="1" applyBorder="1" applyAlignment="1" applyProtection="1">
      <alignment horizontal="center" vertical="center" wrapText="1"/>
      <protection locked="0"/>
    </xf>
    <xf numFmtId="0" fontId="9" fillId="15" borderId="10" xfId="0" applyFont="1" applyFill="1" applyBorder="1" applyAlignment="1">
      <alignment horizontal="center" vertical="center"/>
    </xf>
    <xf numFmtId="0" fontId="11" fillId="15" borderId="0" xfId="0" applyFont="1" applyFill="1" applyBorder="1" applyAlignment="1" applyProtection="1">
      <alignment vertical="center" wrapText="1"/>
      <protection/>
    </xf>
    <xf numFmtId="0" fontId="12" fillId="15" borderId="0" xfId="58" applyFont="1" applyFill="1" applyBorder="1" applyAlignment="1" applyProtection="1">
      <alignment horizontal="center" vertical="center" wrapText="1"/>
      <protection/>
    </xf>
    <xf numFmtId="0" fontId="11" fillId="15" borderId="18" xfId="0" applyFont="1" applyFill="1" applyBorder="1" applyAlignment="1" applyProtection="1">
      <alignment horizontal="left" vertical="top" wrapText="1"/>
      <protection/>
    </xf>
    <xf numFmtId="0" fontId="5" fillId="15" borderId="18" xfId="0" applyFont="1" applyFill="1" applyBorder="1" applyAlignment="1" applyProtection="1">
      <alignment horizontal="right"/>
      <protection locked="0"/>
    </xf>
    <xf numFmtId="0" fontId="11" fillId="15" borderId="32" xfId="0" applyFont="1" applyFill="1" applyBorder="1" applyAlignment="1" applyProtection="1">
      <alignment vertical="center" wrapText="1"/>
      <protection/>
    </xf>
    <xf numFmtId="0" fontId="12" fillId="15" borderId="31" xfId="58" applyFont="1" applyFill="1" applyBorder="1" applyAlignment="1" applyProtection="1">
      <alignment vertical="center" wrapText="1"/>
      <protection/>
    </xf>
    <xf numFmtId="0" fontId="11" fillId="15" borderId="31" xfId="0" applyFont="1" applyFill="1" applyBorder="1" applyAlignment="1" applyProtection="1">
      <alignment vertical="top" wrapText="1"/>
      <protection/>
    </xf>
    <xf numFmtId="0" fontId="11" fillId="15" borderId="11" xfId="0" applyFont="1" applyFill="1" applyBorder="1" applyAlignment="1" applyProtection="1">
      <alignment horizontal="left" vertical="top" wrapText="1"/>
      <protection/>
    </xf>
    <xf numFmtId="172" fontId="5" fillId="15" borderId="11" xfId="44" applyNumberFormat="1" applyFont="1" applyFill="1" applyBorder="1" applyAlignment="1" applyProtection="1">
      <alignment horizontal="right"/>
      <protection locked="0"/>
    </xf>
    <xf numFmtId="0" fontId="3" fillId="15" borderId="23" xfId="0" applyFont="1" applyFill="1" applyBorder="1" applyAlignment="1" applyProtection="1">
      <alignment wrapText="1"/>
      <protection locked="0"/>
    </xf>
    <xf numFmtId="172" fontId="5" fillId="15" borderId="19" xfId="0" applyNumberFormat="1" applyFont="1" applyFill="1" applyBorder="1" applyAlignment="1" applyProtection="1">
      <alignment horizontal="right"/>
      <protection locked="0"/>
    </xf>
    <xf numFmtId="0" fontId="6" fillId="15" borderId="0" xfId="0" applyFont="1" applyFill="1" applyBorder="1" applyAlignment="1" applyProtection="1">
      <alignment/>
      <protection locked="0"/>
    </xf>
    <xf numFmtId="0" fontId="16" fillId="15" borderId="13" xfId="0" applyFont="1" applyFill="1" applyBorder="1" applyAlignment="1" applyProtection="1">
      <alignment horizontal="center" vertical="center" wrapText="1"/>
      <protection locked="0"/>
    </xf>
    <xf numFmtId="0" fontId="11" fillId="15" borderId="10" xfId="0" applyFont="1" applyFill="1" applyBorder="1" applyAlignment="1" applyProtection="1">
      <alignment horizontal="left" vertical="top" wrapText="1"/>
      <protection/>
    </xf>
    <xf numFmtId="0" fontId="11" fillId="15" borderId="10" xfId="0" applyFont="1" applyFill="1" applyBorder="1" applyAlignment="1" applyProtection="1">
      <alignment horizontal="center" vertical="center" wrapText="1"/>
      <protection locked="0"/>
    </xf>
    <xf numFmtId="0" fontId="16" fillId="15" borderId="10" xfId="0" applyFont="1" applyFill="1" applyBorder="1" applyAlignment="1" applyProtection="1">
      <alignment horizontal="center" vertical="center" wrapText="1"/>
      <protection locked="0"/>
    </xf>
    <xf numFmtId="0" fontId="12" fillId="15" borderId="10" xfId="0" applyFont="1" applyFill="1" applyBorder="1" applyAlignment="1">
      <alignment horizontal="center" vertical="center"/>
    </xf>
    <xf numFmtId="172" fontId="16" fillId="15" borderId="10" xfId="0" applyNumberFormat="1" applyFont="1" applyFill="1" applyBorder="1" applyAlignment="1" applyProtection="1">
      <alignment horizontal="right"/>
      <protection locked="0"/>
    </xf>
    <xf numFmtId="172" fontId="12" fillId="15" borderId="10" xfId="44" applyNumberFormat="1" applyFont="1" applyFill="1" applyBorder="1" applyAlignment="1" applyProtection="1">
      <alignment horizontal="right" vertical="center"/>
      <protection locked="0"/>
    </xf>
    <xf numFmtId="172" fontId="16" fillId="15" borderId="10" xfId="42" applyNumberFormat="1" applyFont="1" applyFill="1" applyBorder="1" applyAlignment="1" applyProtection="1">
      <alignment horizontal="right"/>
      <protection locked="0"/>
    </xf>
    <xf numFmtId="43" fontId="100" fillId="15" borderId="0" xfId="42" applyFont="1" applyFill="1" applyBorder="1" applyAlignment="1" applyProtection="1">
      <alignment/>
      <protection locked="0"/>
    </xf>
    <xf numFmtId="43" fontId="2" fillId="33" borderId="0" xfId="0" applyNumberFormat="1" applyFont="1" applyFill="1" applyBorder="1" applyAlignment="1" applyProtection="1">
      <alignment/>
      <protection locked="0"/>
    </xf>
    <xf numFmtId="43" fontId="7" fillId="15" borderId="0" xfId="42" applyFont="1" applyFill="1" applyBorder="1" applyAlignment="1" applyProtection="1">
      <alignment/>
      <protection locked="0"/>
    </xf>
    <xf numFmtId="43" fontId="7" fillId="15" borderId="0" xfId="42" applyFont="1" applyFill="1" applyBorder="1" applyAlignment="1" applyProtection="1">
      <alignment horizontal="left"/>
      <protection locked="0"/>
    </xf>
    <xf numFmtId="0" fontId="11" fillId="15" borderId="42" xfId="0" applyFont="1" applyFill="1" applyBorder="1" applyAlignment="1" applyProtection="1">
      <alignment horizontal="center" vertical="center" wrapText="1"/>
      <protection/>
    </xf>
    <xf numFmtId="0" fontId="11" fillId="15" borderId="10" xfId="0" applyFont="1" applyFill="1" applyBorder="1" applyAlignment="1" applyProtection="1">
      <alignment horizontal="center" vertical="center" wrapText="1"/>
      <protection/>
    </xf>
    <xf numFmtId="0" fontId="11" fillId="15" borderId="10" xfId="0" applyFont="1" applyFill="1" applyBorder="1" applyAlignment="1" applyProtection="1">
      <alignment horizontal="left" vertical="center" wrapText="1"/>
      <protection/>
    </xf>
    <xf numFmtId="0" fontId="17" fillId="15" borderId="10" xfId="0" applyFont="1" applyFill="1" applyBorder="1" applyAlignment="1" applyProtection="1">
      <alignment wrapText="1"/>
      <protection locked="0"/>
    </xf>
    <xf numFmtId="43" fontId="13" fillId="33" borderId="0" xfId="0" applyNumberFormat="1" applyFont="1" applyFill="1" applyBorder="1" applyAlignment="1" applyProtection="1">
      <alignment/>
      <protection locked="0"/>
    </xf>
    <xf numFmtId="0" fontId="14" fillId="38" borderId="0" xfId="0" applyFont="1" applyFill="1" applyBorder="1" applyAlignment="1" applyProtection="1">
      <alignment vertical="center"/>
      <protection locked="0"/>
    </xf>
    <xf numFmtId="0" fontId="103" fillId="38" borderId="0" xfId="0" applyFont="1" applyFill="1" applyBorder="1" applyAlignment="1" applyProtection="1">
      <alignment/>
      <protection locked="0"/>
    </xf>
    <xf numFmtId="0" fontId="103" fillId="38" borderId="0" xfId="0" applyFont="1" applyFill="1" applyBorder="1" applyAlignment="1" applyProtection="1">
      <alignment vertical="center"/>
      <protection locked="0"/>
    </xf>
    <xf numFmtId="0" fontId="14" fillId="38" borderId="0" xfId="0" applyFont="1" applyFill="1" applyBorder="1" applyAlignment="1" applyProtection="1">
      <alignment horizontal="left"/>
      <protection locked="0"/>
    </xf>
    <xf numFmtId="0" fontId="14" fillId="38" borderId="0" xfId="0" applyFont="1" applyFill="1" applyBorder="1" applyAlignment="1" applyProtection="1">
      <alignment horizontal="center"/>
      <protection locked="0"/>
    </xf>
    <xf numFmtId="172" fontId="14" fillId="38" borderId="0" xfId="42" applyNumberFormat="1" applyFont="1" applyFill="1" applyBorder="1" applyAlignment="1" applyProtection="1">
      <alignment horizontal="right"/>
      <protection locked="0"/>
    </xf>
    <xf numFmtId="0" fontId="14" fillId="38" borderId="0" xfId="0" applyFont="1" applyFill="1" applyBorder="1" applyAlignment="1" applyProtection="1">
      <alignment horizontal="right"/>
      <protection locked="0"/>
    </xf>
    <xf numFmtId="0" fontId="12" fillId="33" borderId="10" xfId="0" applyFont="1" applyFill="1" applyBorder="1" applyAlignment="1" applyProtection="1">
      <alignment horizontal="left" vertical="top" wrapText="1"/>
      <protection/>
    </xf>
    <xf numFmtId="0" fontId="103" fillId="0" borderId="10" xfId="0" applyFont="1" applyFill="1" applyBorder="1" applyAlignment="1" applyProtection="1">
      <alignment horizontal="center" vertical="center"/>
      <protection locked="0"/>
    </xf>
    <xf numFmtId="172" fontId="11" fillId="0" borderId="10" xfId="42" applyNumberFormat="1" applyFont="1" applyFill="1" applyBorder="1" applyAlignment="1" applyProtection="1">
      <alignment horizontal="center" vertical="center"/>
      <protection locked="0"/>
    </xf>
    <xf numFmtId="172" fontId="16" fillId="34" borderId="10" xfId="42" applyNumberFormat="1" applyFont="1" applyFill="1" applyBorder="1" applyAlignment="1" applyProtection="1">
      <alignment horizontal="center" vertical="center"/>
      <protection locked="0"/>
    </xf>
    <xf numFmtId="172" fontId="11" fillId="0" borderId="10" xfId="42" applyNumberFormat="1" applyFont="1" applyFill="1" applyBorder="1" applyAlignment="1" applyProtection="1">
      <alignment horizontal="center" vertical="center" wrapText="1"/>
      <protection locked="0"/>
    </xf>
    <xf numFmtId="172" fontId="12" fillId="34" borderId="10" xfId="42" applyNumberFormat="1" applyFont="1" applyFill="1" applyBorder="1" applyAlignment="1" applyProtection="1">
      <alignment horizontal="center" vertical="center" wrapText="1"/>
      <protection locked="0"/>
    </xf>
    <xf numFmtId="0" fontId="14" fillId="0" borderId="10" xfId="0" applyFont="1" applyFill="1" applyBorder="1" applyAlignment="1" applyProtection="1">
      <alignment horizontal="center" vertical="center" wrapText="1"/>
      <protection locked="0"/>
    </xf>
    <xf numFmtId="0" fontId="14" fillId="0" borderId="10" xfId="0" applyFont="1" applyFill="1" applyBorder="1" applyAlignment="1" applyProtection="1">
      <alignment horizontal="center" vertical="center"/>
      <protection locked="0"/>
    </xf>
    <xf numFmtId="172" fontId="16" fillId="34" borderId="10" xfId="0" applyNumberFormat="1" applyFont="1" applyFill="1" applyBorder="1" applyAlignment="1" applyProtection="1">
      <alignment horizontal="center" vertical="center"/>
      <protection locked="0"/>
    </xf>
    <xf numFmtId="0" fontId="11" fillId="0" borderId="10" xfId="0" applyFont="1" applyFill="1" applyBorder="1" applyAlignment="1" applyProtection="1">
      <alignment horizontal="center" vertical="center"/>
      <protection locked="0"/>
    </xf>
    <xf numFmtId="43" fontId="11" fillId="0" borderId="10" xfId="44" applyFont="1" applyFill="1" applyBorder="1" applyAlignment="1" applyProtection="1">
      <alignment horizontal="center" vertical="center" wrapText="1"/>
      <protection locked="0"/>
    </xf>
    <xf numFmtId="43" fontId="14" fillId="0" borderId="0" xfId="42" applyFont="1" applyFill="1" applyBorder="1" applyAlignment="1" applyProtection="1">
      <alignment horizontal="center" vertical="center"/>
      <protection locked="0"/>
    </xf>
    <xf numFmtId="0" fontId="14" fillId="0" borderId="0" xfId="0" applyFont="1" applyFill="1" applyBorder="1" applyAlignment="1" applyProtection="1">
      <alignment horizontal="center" vertical="center"/>
      <protection locked="0"/>
    </xf>
    <xf numFmtId="0" fontId="97" fillId="33" borderId="0" xfId="0" applyFont="1" applyFill="1" applyBorder="1" applyAlignment="1" applyProtection="1">
      <alignment horizontal="center" vertical="center"/>
      <protection locked="0"/>
    </xf>
    <xf numFmtId="0" fontId="3" fillId="33" borderId="0" xfId="0" applyFont="1" applyFill="1" applyBorder="1" applyAlignment="1" applyProtection="1">
      <alignment horizontal="center" vertical="center" wrapText="1"/>
      <protection locked="0"/>
    </xf>
    <xf numFmtId="172" fontId="2" fillId="33" borderId="0" xfId="44" applyNumberFormat="1" applyFont="1" applyFill="1" applyBorder="1" applyAlignment="1" applyProtection="1">
      <alignment horizontal="right" vertical="center"/>
      <protection locked="0"/>
    </xf>
    <xf numFmtId="0" fontId="2" fillId="33" borderId="0" xfId="0" applyFont="1" applyFill="1" applyBorder="1" applyAlignment="1" applyProtection="1">
      <alignment horizontal="right" vertical="center"/>
      <protection locked="0"/>
    </xf>
    <xf numFmtId="0" fontId="3" fillId="33" borderId="0" xfId="0" applyFont="1" applyFill="1" applyBorder="1" applyAlignment="1" applyProtection="1">
      <alignment horizontal="right" vertical="center"/>
      <protection locked="0"/>
    </xf>
    <xf numFmtId="172" fontId="3" fillId="33" borderId="0" xfId="44" applyNumberFormat="1" applyFont="1" applyFill="1" applyBorder="1" applyAlignment="1" applyProtection="1">
      <alignment horizontal="right" vertical="center"/>
      <protection locked="0"/>
    </xf>
    <xf numFmtId="172" fontId="3" fillId="33" borderId="0" xfId="44" applyNumberFormat="1" applyFont="1" applyFill="1" applyBorder="1" applyAlignment="1" applyProtection="1">
      <alignment horizontal="right" vertical="center" wrapText="1"/>
      <protection locked="0"/>
    </xf>
    <xf numFmtId="172" fontId="5" fillId="33" borderId="0" xfId="44" applyNumberFormat="1" applyFont="1" applyFill="1" applyBorder="1" applyAlignment="1" applyProtection="1">
      <alignment horizontal="right" vertical="center" wrapText="1"/>
      <protection locked="0"/>
    </xf>
    <xf numFmtId="172" fontId="2" fillId="33" borderId="0" xfId="44" applyNumberFormat="1" applyFont="1" applyFill="1" applyBorder="1" applyAlignment="1" applyProtection="1">
      <alignment horizontal="right" vertical="center" wrapText="1"/>
      <protection locked="0"/>
    </xf>
    <xf numFmtId="0" fontId="99" fillId="0" borderId="0" xfId="0" applyFont="1" applyFill="1" applyBorder="1" applyAlignment="1" applyProtection="1">
      <alignment vertical="center"/>
      <protection locked="0"/>
    </xf>
    <xf numFmtId="0" fontId="5" fillId="0" borderId="0" xfId="0" applyFont="1" applyFill="1" applyBorder="1" applyAlignment="1" applyProtection="1">
      <alignment horizontal="center" vertical="center"/>
      <protection locked="0"/>
    </xf>
    <xf numFmtId="172" fontId="5" fillId="34" borderId="10" xfId="44" applyNumberFormat="1" applyFont="1" applyFill="1" applyBorder="1" applyAlignment="1" applyProtection="1">
      <alignment horizontal="right" vertical="center"/>
      <protection locked="0"/>
    </xf>
    <xf numFmtId="172" fontId="5" fillId="2" borderId="10" xfId="44" applyNumberFormat="1" applyFont="1" applyFill="1" applyBorder="1" applyAlignment="1" applyProtection="1">
      <alignment horizontal="right" vertical="center"/>
      <protection locked="0"/>
    </xf>
    <xf numFmtId="0" fontId="5" fillId="2" borderId="10" xfId="0" applyFont="1" applyFill="1" applyBorder="1" applyAlignment="1" applyProtection="1">
      <alignment horizontal="right" vertical="center"/>
      <protection locked="0"/>
    </xf>
    <xf numFmtId="172" fontId="5" fillId="0" borderId="10" xfId="44" applyNumberFormat="1" applyFont="1" applyFill="1" applyBorder="1" applyAlignment="1" applyProtection="1">
      <alignment horizontal="right" vertical="center"/>
      <protection locked="0"/>
    </xf>
    <xf numFmtId="172" fontId="5" fillId="4" borderId="10" xfId="44" applyNumberFormat="1" applyFont="1" applyFill="1" applyBorder="1" applyAlignment="1" applyProtection="1">
      <alignment horizontal="right" vertical="center"/>
      <protection locked="0"/>
    </xf>
    <xf numFmtId="0" fontId="5" fillId="0" borderId="0" xfId="0" applyFont="1" applyFill="1" applyBorder="1" applyAlignment="1" applyProtection="1">
      <alignment vertical="center"/>
      <protection locked="0"/>
    </xf>
    <xf numFmtId="0" fontId="3" fillId="33" borderId="10" xfId="0" applyFont="1" applyFill="1" applyBorder="1" applyAlignment="1">
      <alignment vertical="center" wrapText="1"/>
    </xf>
    <xf numFmtId="0" fontId="3" fillId="0" borderId="10" xfId="0" applyFont="1" applyBorder="1" applyAlignment="1">
      <alignment vertical="center" wrapText="1"/>
    </xf>
    <xf numFmtId="0" fontId="3" fillId="0" borderId="10" xfId="0" applyFont="1" applyFill="1" applyBorder="1" applyAlignment="1" applyProtection="1">
      <alignment vertical="center"/>
      <protection locked="0"/>
    </xf>
    <xf numFmtId="0" fontId="3" fillId="0" borderId="0" xfId="0" applyFont="1" applyFill="1" applyBorder="1" applyAlignment="1" applyProtection="1">
      <alignment vertical="center"/>
      <protection locked="0"/>
    </xf>
    <xf numFmtId="0" fontId="5" fillId="0" borderId="10" xfId="0" applyFont="1" applyFill="1" applyBorder="1" applyAlignment="1" applyProtection="1">
      <alignment horizontal="right" vertical="center"/>
      <protection locked="0"/>
    </xf>
    <xf numFmtId="0" fontId="3" fillId="34" borderId="10" xfId="0" applyFont="1" applyFill="1" applyBorder="1" applyAlignment="1" applyProtection="1">
      <alignment horizontal="left" vertical="center" wrapText="1"/>
      <protection/>
    </xf>
    <xf numFmtId="172" fontId="5" fillId="9" borderId="10" xfId="44" applyNumberFormat="1" applyFont="1" applyFill="1" applyBorder="1" applyAlignment="1" applyProtection="1">
      <alignment horizontal="right" vertical="center"/>
      <protection locked="0"/>
    </xf>
    <xf numFmtId="0" fontId="5" fillId="9" borderId="10" xfId="0" applyFont="1" applyFill="1" applyBorder="1" applyAlignment="1" applyProtection="1">
      <alignment horizontal="right" vertical="center"/>
      <protection locked="0"/>
    </xf>
    <xf numFmtId="172" fontId="5" fillId="9" borderId="10" xfId="0" applyNumberFormat="1" applyFont="1" applyFill="1" applyBorder="1" applyAlignment="1" applyProtection="1">
      <alignment horizontal="right" vertical="center"/>
      <protection locked="0"/>
    </xf>
    <xf numFmtId="0" fontId="97" fillId="0" borderId="0" xfId="0" applyFont="1" applyFill="1" applyBorder="1" applyAlignment="1" applyProtection="1">
      <alignment horizontal="left" vertical="center"/>
      <protection locked="0"/>
    </xf>
    <xf numFmtId="0" fontId="97" fillId="0" borderId="0"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wrapText="1"/>
      <protection locked="0"/>
    </xf>
    <xf numFmtId="172" fontId="2" fillId="0" borderId="0" xfId="44" applyNumberFormat="1" applyFont="1" applyFill="1" applyBorder="1" applyAlignment="1" applyProtection="1">
      <alignment horizontal="right" vertical="center"/>
      <protection locked="0"/>
    </xf>
    <xf numFmtId="0" fontId="2" fillId="0" borderId="0" xfId="0" applyFont="1" applyFill="1" applyBorder="1" applyAlignment="1" applyProtection="1">
      <alignment horizontal="right" vertical="center"/>
      <protection locked="0"/>
    </xf>
    <xf numFmtId="0" fontId="3" fillId="0" borderId="0" xfId="0" applyFont="1" applyFill="1" applyBorder="1" applyAlignment="1" applyProtection="1">
      <alignment horizontal="right" vertical="center"/>
      <protection locked="0"/>
    </xf>
    <xf numFmtId="172" fontId="3" fillId="0" borderId="0" xfId="44" applyNumberFormat="1" applyFont="1" applyFill="1" applyBorder="1" applyAlignment="1" applyProtection="1">
      <alignment horizontal="right" vertical="center"/>
      <protection locked="0"/>
    </xf>
    <xf numFmtId="172" fontId="3" fillId="0" borderId="0" xfId="44" applyNumberFormat="1" applyFont="1" applyFill="1" applyBorder="1" applyAlignment="1" applyProtection="1">
      <alignment horizontal="right" vertical="center" wrapText="1"/>
      <protection locked="0"/>
    </xf>
    <xf numFmtId="172" fontId="5" fillId="0" borderId="0" xfId="44" applyNumberFormat="1" applyFont="1" applyFill="1" applyBorder="1" applyAlignment="1" applyProtection="1">
      <alignment horizontal="right" vertical="center" wrapText="1"/>
      <protection locked="0"/>
    </xf>
    <xf numFmtId="172" fontId="2" fillId="0" borderId="0" xfId="44" applyNumberFormat="1" applyFont="1" applyFill="1" applyBorder="1" applyAlignment="1" applyProtection="1">
      <alignment horizontal="right" vertical="center" wrapText="1"/>
      <protection locked="0"/>
    </xf>
    <xf numFmtId="0" fontId="3" fillId="33" borderId="10" xfId="0" applyFont="1" applyFill="1" applyBorder="1" applyAlignment="1" applyProtection="1">
      <alignment vertical="center" wrapText="1"/>
      <protection locked="0"/>
    </xf>
    <xf numFmtId="0" fontId="3" fillId="33" borderId="10" xfId="0" applyFont="1" applyFill="1" applyBorder="1" applyAlignment="1" applyProtection="1">
      <alignment horizontal="left" vertical="center" wrapText="1"/>
      <protection/>
    </xf>
    <xf numFmtId="0" fontId="16" fillId="33" borderId="18" xfId="0" applyFont="1" applyFill="1" applyBorder="1" applyAlignment="1" applyProtection="1">
      <alignment horizontal="center" wrapText="1"/>
      <protection locked="0"/>
    </xf>
    <xf numFmtId="43" fontId="12" fillId="33" borderId="12" xfId="44" applyFont="1" applyFill="1" applyBorder="1" applyAlignment="1">
      <alignment horizontal="center" vertical="center"/>
    </xf>
    <xf numFmtId="0" fontId="11" fillId="33" borderId="10" xfId="0" applyFont="1" applyFill="1" applyBorder="1" applyAlignment="1" applyProtection="1">
      <alignment wrapText="1"/>
      <protection locked="0"/>
    </xf>
    <xf numFmtId="0" fontId="11" fillId="33" borderId="10" xfId="0" applyFont="1" applyFill="1" applyBorder="1" applyAlignment="1" applyProtection="1">
      <alignment vertical="center" wrapText="1"/>
      <protection locked="0"/>
    </xf>
    <xf numFmtId="172" fontId="16" fillId="34" borderId="10" xfId="0" applyNumberFormat="1" applyFont="1" applyFill="1" applyBorder="1" applyAlignment="1" applyProtection="1">
      <alignment horizontal="right" vertical="center"/>
      <protection locked="0"/>
    </xf>
    <xf numFmtId="0" fontId="24" fillId="33" borderId="10" xfId="0" applyFont="1" applyFill="1" applyBorder="1" applyAlignment="1" applyProtection="1">
      <alignment vertical="center" wrapText="1"/>
      <protection/>
    </xf>
    <xf numFmtId="0" fontId="24" fillId="33" borderId="10" xfId="0" applyFont="1" applyFill="1" applyBorder="1" applyAlignment="1" applyProtection="1">
      <alignment horizontal="left" vertical="center" wrapText="1"/>
      <protection/>
    </xf>
    <xf numFmtId="0" fontId="23" fillId="39" borderId="10" xfId="0" applyFont="1" applyFill="1" applyBorder="1" applyAlignment="1" applyProtection="1">
      <alignment horizontal="center" vertical="center" wrapText="1"/>
      <protection locked="0"/>
    </xf>
    <xf numFmtId="0" fontId="24" fillId="33" borderId="19" xfId="0" applyFont="1" applyFill="1" applyBorder="1" applyAlignment="1" applyProtection="1">
      <alignment horizontal="left" vertical="center" wrapText="1"/>
      <protection/>
    </xf>
    <xf numFmtId="0" fontId="24" fillId="33" borderId="13" xfId="0" applyFont="1" applyFill="1" applyBorder="1" applyAlignment="1" applyProtection="1">
      <alignment horizontal="left" vertical="center" wrapText="1"/>
      <protection/>
    </xf>
    <xf numFmtId="0" fontId="106" fillId="40" borderId="12" xfId="0" applyFont="1" applyFill="1" applyBorder="1" applyAlignment="1" applyProtection="1">
      <alignment horizontal="left" vertical="center" wrapText="1"/>
      <protection/>
    </xf>
    <xf numFmtId="0" fontId="15" fillId="40" borderId="12" xfId="0" applyFont="1" applyFill="1" applyBorder="1" applyAlignment="1" applyProtection="1">
      <alignment horizontal="left" vertical="center" wrapText="1"/>
      <protection/>
    </xf>
    <xf numFmtId="0" fontId="15" fillId="39" borderId="12" xfId="0" applyFont="1" applyFill="1" applyBorder="1" applyAlignment="1" applyProtection="1">
      <alignment horizontal="left" vertical="center" wrapText="1"/>
      <protection/>
    </xf>
    <xf numFmtId="0" fontId="15" fillId="40" borderId="12" xfId="0" applyFont="1" applyFill="1" applyBorder="1" applyAlignment="1" applyProtection="1">
      <alignment horizontal="left" vertical="center" wrapText="1"/>
      <protection/>
    </xf>
    <xf numFmtId="0" fontId="112" fillId="39" borderId="12" xfId="0" applyFont="1" applyFill="1" applyBorder="1" applyAlignment="1" applyProtection="1">
      <alignment vertical="center"/>
      <protection locked="0"/>
    </xf>
    <xf numFmtId="0" fontId="113" fillId="40" borderId="12" xfId="0" applyFont="1" applyFill="1" applyBorder="1" applyAlignment="1" applyProtection="1">
      <alignment horizontal="center" vertical="center" wrapText="1"/>
      <protection/>
    </xf>
    <xf numFmtId="0" fontId="5" fillId="0" borderId="10" xfId="58" applyFont="1" applyFill="1" applyBorder="1" applyAlignment="1" applyProtection="1">
      <alignment horizontal="center" vertical="center" wrapText="1"/>
      <protection/>
    </xf>
    <xf numFmtId="0" fontId="5" fillId="0" borderId="10" xfId="0" applyFont="1" applyFill="1" applyBorder="1" applyAlignment="1" applyProtection="1">
      <alignment horizontal="center" vertical="center" wrapText="1"/>
      <protection/>
    </xf>
    <xf numFmtId="0" fontId="11" fillId="0" borderId="19" xfId="0" applyFont="1" applyFill="1" applyBorder="1" applyAlignment="1" applyProtection="1">
      <alignment horizontal="left" vertical="center" wrapText="1"/>
      <protection/>
    </xf>
    <xf numFmtId="43" fontId="11" fillId="0" borderId="10" xfId="42" applyFont="1" applyFill="1" applyBorder="1" applyAlignment="1" applyProtection="1">
      <alignment horizontal="left" vertical="center" wrapText="1"/>
      <protection/>
    </xf>
    <xf numFmtId="172" fontId="16" fillId="2" borderId="10" xfId="42" applyNumberFormat="1" applyFont="1" applyFill="1" applyBorder="1" applyAlignment="1" applyProtection="1">
      <alignment horizontal="right" vertical="center"/>
      <protection locked="0"/>
    </xf>
    <xf numFmtId="0" fontId="16" fillId="2" borderId="10" xfId="0" applyFont="1" applyFill="1" applyBorder="1" applyAlignment="1" applyProtection="1">
      <alignment horizontal="right" vertical="center"/>
      <protection locked="0"/>
    </xf>
    <xf numFmtId="0" fontId="16" fillId="0" borderId="10" xfId="0" applyFont="1" applyFill="1" applyBorder="1" applyAlignment="1" applyProtection="1">
      <alignment horizontal="right" vertical="center"/>
      <protection locked="0"/>
    </xf>
    <xf numFmtId="172" fontId="16" fillId="4" borderId="10" xfId="42" applyNumberFormat="1" applyFont="1" applyFill="1" applyBorder="1" applyAlignment="1" applyProtection="1">
      <alignment horizontal="right" vertical="center"/>
      <protection locked="0"/>
    </xf>
    <xf numFmtId="172" fontId="18" fillId="34" borderId="10" xfId="42" applyNumberFormat="1" applyFont="1" applyFill="1" applyBorder="1" applyAlignment="1" applyProtection="1">
      <alignment horizontal="right" vertical="center"/>
      <protection locked="0"/>
    </xf>
    <xf numFmtId="43" fontId="14" fillId="0" borderId="0" xfId="42" applyFont="1" applyFill="1" applyBorder="1" applyAlignment="1" applyProtection="1">
      <alignment vertical="center"/>
      <protection locked="0"/>
    </xf>
    <xf numFmtId="0" fontId="16" fillId="9" borderId="30" xfId="0" applyFont="1" applyFill="1" applyBorder="1" applyAlignment="1" applyProtection="1">
      <alignment horizontal="center" vertical="center" wrapText="1"/>
      <protection locked="0"/>
    </xf>
    <xf numFmtId="0" fontId="12" fillId="9" borderId="12" xfId="0" applyFont="1" applyFill="1" applyBorder="1" applyAlignment="1">
      <alignment horizontal="center" vertical="center"/>
    </xf>
    <xf numFmtId="0" fontId="11" fillId="9" borderId="30" xfId="0" applyFont="1" applyFill="1" applyBorder="1" applyAlignment="1" applyProtection="1">
      <alignment horizontal="center" vertical="center" wrapText="1"/>
      <protection locked="0"/>
    </xf>
    <xf numFmtId="0" fontId="11" fillId="9" borderId="38" xfId="0" applyFont="1" applyFill="1" applyBorder="1" applyAlignment="1" applyProtection="1">
      <alignment wrapText="1"/>
      <protection locked="0"/>
    </xf>
    <xf numFmtId="0" fontId="16" fillId="9" borderId="18" xfId="0" applyFont="1" applyFill="1" applyBorder="1" applyAlignment="1" applyProtection="1">
      <alignment horizontal="center" wrapText="1"/>
      <protection locked="0"/>
    </xf>
    <xf numFmtId="172" fontId="12" fillId="34" borderId="10" xfId="42" applyNumberFormat="1" applyFont="1" applyFill="1" applyBorder="1" applyAlignment="1" applyProtection="1">
      <alignment horizontal="right"/>
      <protection locked="0"/>
    </xf>
    <xf numFmtId="172" fontId="11" fillId="33" borderId="10" xfId="42" applyNumberFormat="1" applyFont="1" applyFill="1" applyBorder="1" applyAlignment="1" applyProtection="1">
      <alignment horizontal="right" wrapText="1"/>
      <protection locked="0"/>
    </xf>
    <xf numFmtId="172" fontId="11" fillId="34" borderId="10" xfId="42" applyNumberFormat="1" applyFont="1" applyFill="1" applyBorder="1" applyAlignment="1" applyProtection="1">
      <alignment horizontal="right" wrapText="1"/>
      <protection locked="0"/>
    </xf>
    <xf numFmtId="0" fontId="16" fillId="39" borderId="46" xfId="0" applyFont="1" applyFill="1" applyBorder="1" applyAlignment="1" applyProtection="1">
      <alignment horizontal="center" vertical="center" wrapText="1"/>
      <protection locked="0"/>
    </xf>
    <xf numFmtId="0" fontId="16" fillId="39" borderId="33" xfId="0" applyFont="1" applyFill="1" applyBorder="1" applyAlignment="1" applyProtection="1">
      <alignment horizontal="center" vertical="center" wrapText="1"/>
      <protection locked="0"/>
    </xf>
    <xf numFmtId="172" fontId="16" fillId="39" borderId="10" xfId="42" applyNumberFormat="1" applyFont="1" applyFill="1" applyBorder="1" applyAlignment="1" applyProtection="1">
      <alignment horizontal="center" wrapText="1"/>
      <protection locked="0"/>
    </xf>
    <xf numFmtId="0" fontId="16" fillId="39" borderId="10" xfId="0" applyFont="1" applyFill="1" applyBorder="1" applyAlignment="1" applyProtection="1">
      <alignment horizontal="center" wrapText="1"/>
      <protection locked="0"/>
    </xf>
    <xf numFmtId="172" fontId="16" fillId="39" borderId="10" xfId="42" applyNumberFormat="1" applyFont="1" applyFill="1" applyBorder="1" applyAlignment="1" applyProtection="1">
      <alignment horizontal="center" vertical="center" wrapText="1"/>
      <protection locked="0"/>
    </xf>
    <xf numFmtId="0" fontId="16" fillId="39" borderId="10" xfId="0" applyFont="1" applyFill="1" applyBorder="1" applyAlignment="1" applyProtection="1">
      <alignment horizontal="center" vertical="center" wrapText="1"/>
      <protection locked="0"/>
    </xf>
    <xf numFmtId="43" fontId="16" fillId="39" borderId="10" xfId="44" applyFont="1" applyFill="1" applyBorder="1" applyAlignment="1" applyProtection="1">
      <alignment horizontal="center" wrapText="1"/>
      <protection locked="0"/>
    </xf>
    <xf numFmtId="172" fontId="16" fillId="39" borderId="10" xfId="42" applyNumberFormat="1" applyFont="1" applyFill="1" applyBorder="1" applyAlignment="1" applyProtection="1">
      <alignment wrapText="1"/>
      <protection locked="0"/>
    </xf>
    <xf numFmtId="0" fontId="16" fillId="39" borderId="25" xfId="0" applyFont="1" applyFill="1" applyBorder="1" applyAlignment="1" applyProtection="1">
      <alignment horizontal="center" vertical="center" wrapText="1"/>
      <protection locked="0"/>
    </xf>
    <xf numFmtId="0" fontId="16" fillId="39" borderId="20" xfId="0" applyFont="1" applyFill="1" applyBorder="1" applyAlignment="1" applyProtection="1">
      <alignment horizontal="center" vertical="center" wrapText="1"/>
      <protection locked="0"/>
    </xf>
    <xf numFmtId="0" fontId="16" fillId="39" borderId="18" xfId="0" applyFont="1" applyFill="1" applyBorder="1" applyAlignment="1" applyProtection="1">
      <alignment wrapText="1"/>
      <protection locked="0"/>
    </xf>
    <xf numFmtId="0" fontId="11" fillId="39" borderId="20" xfId="0" applyFont="1" applyFill="1" applyBorder="1" applyAlignment="1" applyProtection="1">
      <alignment horizontal="center" vertical="center" wrapText="1"/>
      <protection locked="0"/>
    </xf>
    <xf numFmtId="0" fontId="16" fillId="39" borderId="18" xfId="0" applyFont="1" applyFill="1" applyBorder="1" applyAlignment="1" applyProtection="1">
      <alignment horizontal="left" wrapText="1"/>
      <protection locked="0"/>
    </xf>
    <xf numFmtId="0" fontId="16" fillId="39" borderId="18" xfId="0" applyFont="1" applyFill="1" applyBorder="1" applyAlignment="1" applyProtection="1">
      <alignment horizontal="center" wrapText="1"/>
      <protection locked="0"/>
    </xf>
    <xf numFmtId="0" fontId="12" fillId="39" borderId="12" xfId="0" applyFont="1" applyFill="1" applyBorder="1" applyAlignment="1">
      <alignment horizontal="center" vertical="center"/>
    </xf>
    <xf numFmtId="172" fontId="12" fillId="33" borderId="10" xfId="42" applyNumberFormat="1" applyFont="1" applyFill="1" applyBorder="1" applyAlignment="1" applyProtection="1">
      <alignment horizontal="right"/>
      <protection locked="0"/>
    </xf>
    <xf numFmtId="172" fontId="16" fillId="33" borderId="10" xfId="42" applyNumberFormat="1" applyFont="1" applyFill="1" applyBorder="1" applyAlignment="1" applyProtection="1">
      <alignment horizontal="center" vertical="center"/>
      <protection locked="0"/>
    </xf>
    <xf numFmtId="172" fontId="11" fillId="33" borderId="10" xfId="42" applyNumberFormat="1" applyFont="1" applyFill="1" applyBorder="1" applyAlignment="1" applyProtection="1">
      <alignment horizontal="center" vertical="center" wrapText="1"/>
      <protection locked="0"/>
    </xf>
    <xf numFmtId="0" fontId="11" fillId="0" borderId="13" xfId="58" applyFont="1" applyFill="1" applyBorder="1" applyAlignment="1" applyProtection="1">
      <alignment horizontal="center" vertical="center" wrapText="1"/>
      <protection/>
    </xf>
    <xf numFmtId="0" fontId="14" fillId="33" borderId="0" xfId="0" applyFont="1" applyFill="1" applyBorder="1" applyAlignment="1" applyProtection="1">
      <alignment horizontal="left" vertical="center"/>
      <protection locked="0"/>
    </xf>
    <xf numFmtId="0" fontId="16" fillId="39" borderId="18" xfId="0" applyFont="1" applyFill="1" applyBorder="1" applyAlignment="1" applyProtection="1">
      <alignment horizontal="left" vertical="center" wrapText="1"/>
      <protection locked="0"/>
    </xf>
    <xf numFmtId="0" fontId="11" fillId="33" borderId="10" xfId="0" applyFont="1" applyFill="1" applyBorder="1" applyAlignment="1" applyProtection="1">
      <alignment horizontal="left" vertical="center" wrapText="1"/>
      <protection/>
    </xf>
    <xf numFmtId="0" fontId="11" fillId="9" borderId="12" xfId="0" applyFont="1" applyFill="1" applyBorder="1" applyAlignment="1" applyProtection="1">
      <alignment horizontal="left" vertical="center" wrapText="1"/>
      <protection/>
    </xf>
    <xf numFmtId="172" fontId="16" fillId="9" borderId="10" xfId="0" applyNumberFormat="1" applyFont="1" applyFill="1" applyBorder="1" applyAlignment="1" applyProtection="1">
      <alignment horizontal="right" vertical="center"/>
      <protection locked="0"/>
    </xf>
    <xf numFmtId="0" fontId="109" fillId="8" borderId="10" xfId="0" applyFont="1" applyFill="1" applyBorder="1" applyAlignment="1" applyProtection="1">
      <alignment horizontal="left" vertical="center"/>
      <protection locked="0"/>
    </xf>
    <xf numFmtId="0" fontId="14" fillId="0" borderId="0" xfId="0" applyFont="1" applyFill="1" applyBorder="1" applyAlignment="1" applyProtection="1">
      <alignment horizontal="left" vertical="center"/>
      <protection locked="0"/>
    </xf>
    <xf numFmtId="0" fontId="5" fillId="8" borderId="10" xfId="0" applyFont="1" applyFill="1" applyBorder="1" applyAlignment="1" applyProtection="1">
      <alignment horizontal="center" vertical="center" wrapText="1"/>
      <protection locked="0"/>
    </xf>
    <xf numFmtId="0" fontId="5" fillId="8" borderId="10" xfId="0" applyFont="1" applyFill="1" applyBorder="1" applyAlignment="1" applyProtection="1">
      <alignment horizontal="left" vertical="center" wrapText="1"/>
      <protection locked="0"/>
    </xf>
    <xf numFmtId="0" fontId="5" fillId="8" borderId="10" xfId="0" applyFont="1" applyFill="1" applyBorder="1" applyAlignment="1">
      <alignment horizontal="center" vertical="center"/>
    </xf>
    <xf numFmtId="0" fontId="5" fillId="0" borderId="10" xfId="58" applyFont="1" applyFill="1" applyBorder="1" applyAlignment="1" applyProtection="1">
      <alignment vertical="center" wrapText="1"/>
      <protection/>
    </xf>
    <xf numFmtId="172" fontId="5" fillId="34" borderId="10" xfId="0" applyNumberFormat="1" applyFont="1" applyFill="1" applyBorder="1" applyAlignment="1" applyProtection="1">
      <alignment horizontal="right" vertical="center"/>
      <protection locked="0"/>
    </xf>
    <xf numFmtId="172" fontId="5" fillId="34" borderId="10" xfId="44" applyNumberFormat="1" applyFont="1" applyFill="1" applyBorder="1" applyAlignment="1" applyProtection="1">
      <alignment vertical="center"/>
      <protection locked="0"/>
    </xf>
    <xf numFmtId="0" fontId="5" fillId="0" borderId="10" xfId="0" applyFont="1" applyFill="1" applyBorder="1" applyAlignment="1" applyProtection="1">
      <alignment vertical="center"/>
      <protection locked="0"/>
    </xf>
    <xf numFmtId="0" fontId="3" fillId="2" borderId="10" xfId="0" applyFont="1" applyFill="1" applyBorder="1" applyAlignment="1" applyProtection="1">
      <alignment vertical="center" wrapText="1"/>
      <protection locked="0"/>
    </xf>
    <xf numFmtId="0" fontId="3" fillId="0" borderId="10" xfId="0" applyFont="1" applyFill="1" applyBorder="1" applyAlignment="1" applyProtection="1">
      <alignment vertical="center" wrapText="1"/>
      <protection locked="0"/>
    </xf>
    <xf numFmtId="0" fontId="3" fillId="4" borderId="10" xfId="0" applyFont="1" applyFill="1" applyBorder="1" applyAlignment="1" applyProtection="1">
      <alignment vertical="center" wrapText="1"/>
      <protection locked="0"/>
    </xf>
    <xf numFmtId="0" fontId="3" fillId="34" borderId="10" xfId="0" applyFont="1" applyFill="1" applyBorder="1" applyAlignment="1" applyProtection="1">
      <alignment vertical="center" wrapText="1"/>
      <protection locked="0"/>
    </xf>
    <xf numFmtId="0" fontId="5" fillId="34" borderId="10" xfId="0" applyFont="1" applyFill="1" applyBorder="1" applyAlignment="1" applyProtection="1">
      <alignment vertical="center" wrapText="1"/>
      <protection locked="0"/>
    </xf>
    <xf numFmtId="172" fontId="5" fillId="33" borderId="10" xfId="44" applyNumberFormat="1" applyFont="1" applyFill="1" applyBorder="1" applyAlignment="1" applyProtection="1">
      <alignment horizontal="right" vertical="center"/>
      <protection locked="0"/>
    </xf>
    <xf numFmtId="0" fontId="3" fillId="35" borderId="10" xfId="0" applyFont="1" applyFill="1" applyBorder="1" applyAlignment="1" applyProtection="1">
      <alignment vertical="center" wrapText="1"/>
      <protection locked="0"/>
    </xf>
    <xf numFmtId="0" fontId="5" fillId="9" borderId="10" xfId="58" applyFont="1" applyFill="1" applyBorder="1" applyAlignment="1" applyProtection="1">
      <alignment vertical="center" wrapText="1"/>
      <protection/>
    </xf>
    <xf numFmtId="0" fontId="5" fillId="9" borderId="10" xfId="58" applyFont="1" applyFill="1" applyBorder="1" applyAlignment="1" applyProtection="1">
      <alignment horizontal="center" vertical="center" wrapText="1"/>
      <protection/>
    </xf>
    <xf numFmtId="0" fontId="3" fillId="9" borderId="10" xfId="0" applyFont="1" applyFill="1" applyBorder="1" applyAlignment="1" applyProtection="1">
      <alignment vertical="center" wrapText="1"/>
      <protection locked="0"/>
    </xf>
    <xf numFmtId="0" fontId="5" fillId="9" borderId="10" xfId="0" applyFont="1" applyFill="1" applyBorder="1" applyAlignment="1" applyProtection="1">
      <alignment horizontal="center" vertical="center" wrapText="1"/>
      <protection/>
    </xf>
    <xf numFmtId="0" fontId="5" fillId="9" borderId="10" xfId="0" applyFont="1" applyFill="1" applyBorder="1" applyAlignment="1" applyProtection="1">
      <alignment horizontal="left" vertical="center" wrapText="1"/>
      <protection/>
    </xf>
    <xf numFmtId="172" fontId="5" fillId="9" borderId="10" xfId="44" applyNumberFormat="1" applyFont="1" applyFill="1" applyBorder="1" applyAlignment="1" applyProtection="1">
      <alignment vertical="center"/>
      <protection locked="0"/>
    </xf>
    <xf numFmtId="0" fontId="3" fillId="33" borderId="10" xfId="0" applyFont="1" applyFill="1" applyBorder="1" applyAlignment="1" applyProtection="1">
      <alignment horizontal="center" vertical="center" wrapText="1"/>
      <protection/>
    </xf>
    <xf numFmtId="0" fontId="114" fillId="34" borderId="10" xfId="0" applyFont="1" applyFill="1" applyBorder="1" applyAlignment="1" applyProtection="1">
      <alignment horizontal="left" vertical="center" wrapText="1"/>
      <protection/>
    </xf>
    <xf numFmtId="0" fontId="2" fillId="0" borderId="10" xfId="0" applyFont="1" applyFill="1" applyBorder="1" applyAlignment="1" applyProtection="1">
      <alignment vertical="center"/>
      <protection locked="0"/>
    </xf>
    <xf numFmtId="0" fontId="7" fillId="0" borderId="10" xfId="0" applyFont="1" applyFill="1" applyBorder="1" applyAlignment="1" applyProtection="1">
      <alignment vertical="center"/>
      <protection locked="0"/>
    </xf>
    <xf numFmtId="0" fontId="97" fillId="0" borderId="10" xfId="0" applyFont="1" applyFill="1" applyBorder="1" applyAlignment="1" applyProtection="1">
      <alignment horizontal="left" vertical="center"/>
      <protection locked="0"/>
    </xf>
    <xf numFmtId="0" fontId="95" fillId="36" borderId="10" xfId="0" applyFont="1" applyFill="1" applyBorder="1" applyAlignment="1" applyProtection="1">
      <alignment horizontal="center" vertical="center"/>
      <protection locked="0"/>
    </xf>
    <xf numFmtId="0" fontId="5" fillId="36" borderId="10" xfId="0" applyFont="1" applyFill="1" applyBorder="1" applyAlignment="1" applyProtection="1">
      <alignment horizontal="center" vertical="center" wrapText="1"/>
      <protection locked="0"/>
    </xf>
    <xf numFmtId="0" fontId="7" fillId="36" borderId="10" xfId="0" applyFont="1" applyFill="1" applyBorder="1" applyAlignment="1" applyProtection="1">
      <alignment horizontal="center" vertical="center"/>
      <protection locked="0"/>
    </xf>
    <xf numFmtId="172" fontId="7" fillId="36" borderId="10" xfId="44" applyNumberFormat="1" applyFont="1" applyFill="1" applyBorder="1" applyAlignment="1" applyProtection="1">
      <alignment horizontal="right" vertical="center" wrapText="1"/>
      <protection locked="0"/>
    </xf>
    <xf numFmtId="172" fontId="5" fillId="33" borderId="10" xfId="0" applyNumberFormat="1" applyFont="1" applyFill="1" applyBorder="1" applyAlignment="1" applyProtection="1">
      <alignment horizontal="right" vertical="center"/>
      <protection locked="0"/>
    </xf>
    <xf numFmtId="0" fontId="5" fillId="39" borderId="10" xfId="0" applyFont="1" applyFill="1" applyBorder="1" applyAlignment="1" applyProtection="1">
      <alignment horizontal="center" vertical="center" wrapText="1"/>
      <protection locked="0"/>
    </xf>
    <xf numFmtId="172" fontId="5" fillId="39" borderId="10" xfId="44" applyNumberFormat="1" applyFont="1" applyFill="1" applyBorder="1" applyAlignment="1" applyProtection="1">
      <alignment horizontal="center" vertical="center" wrapText="1"/>
      <protection locked="0"/>
    </xf>
    <xf numFmtId="0" fontId="115" fillId="39" borderId="10" xfId="0" applyFont="1" applyFill="1" applyBorder="1" applyAlignment="1">
      <alignment vertical="center"/>
    </xf>
    <xf numFmtId="172" fontId="5" fillId="39" borderId="10" xfId="44" applyNumberFormat="1" applyFont="1" applyFill="1" applyBorder="1" applyAlignment="1" applyProtection="1">
      <alignment horizontal="right" vertical="center"/>
      <protection locked="0"/>
    </xf>
    <xf numFmtId="172" fontId="5" fillId="33" borderId="13" xfId="44" applyNumberFormat="1" applyFont="1" applyFill="1" applyBorder="1" applyAlignment="1" applyProtection="1">
      <alignment horizontal="right"/>
      <protection locked="0"/>
    </xf>
    <xf numFmtId="172" fontId="5" fillId="33" borderId="18" xfId="44" applyNumberFormat="1" applyFont="1" applyFill="1" applyBorder="1" applyAlignment="1" applyProtection="1">
      <alignment horizontal="right"/>
      <protection locked="0"/>
    </xf>
    <xf numFmtId="0" fontId="3" fillId="33" borderId="23" xfId="0" applyFont="1" applyFill="1" applyBorder="1" applyAlignment="1" applyProtection="1">
      <alignment wrapText="1"/>
      <protection locked="0"/>
    </xf>
    <xf numFmtId="172" fontId="5" fillId="33" borderId="10" xfId="44" applyNumberFormat="1" applyFont="1" applyFill="1" applyBorder="1" applyAlignment="1" applyProtection="1">
      <alignment horizontal="right"/>
      <protection locked="0"/>
    </xf>
    <xf numFmtId="43" fontId="5" fillId="34" borderId="23" xfId="44" applyFont="1" applyFill="1" applyBorder="1" applyAlignment="1" applyProtection="1">
      <alignment wrapText="1"/>
      <protection locked="0"/>
    </xf>
    <xf numFmtId="0" fontId="3" fillId="33" borderId="12" xfId="0" applyFont="1" applyFill="1" applyBorder="1" applyAlignment="1" applyProtection="1">
      <alignment wrapText="1"/>
      <protection locked="0"/>
    </xf>
    <xf numFmtId="172" fontId="5" fillId="33" borderId="19" xfId="44" applyNumberFormat="1" applyFont="1" applyFill="1" applyBorder="1" applyAlignment="1" applyProtection="1">
      <alignment horizontal="right"/>
      <protection locked="0"/>
    </xf>
    <xf numFmtId="172" fontId="5" fillId="33" borderId="11" xfId="44" applyNumberFormat="1" applyFont="1" applyFill="1" applyBorder="1" applyAlignment="1" applyProtection="1">
      <alignment horizontal="right"/>
      <protection locked="0"/>
    </xf>
    <xf numFmtId="0" fontId="5" fillId="39" borderId="46" xfId="0" applyFont="1" applyFill="1" applyBorder="1" applyAlignment="1" applyProtection="1">
      <alignment horizontal="center" vertical="center" wrapText="1"/>
      <protection locked="0"/>
    </xf>
    <xf numFmtId="0" fontId="5" fillId="39" borderId="33" xfId="0" applyFont="1" applyFill="1" applyBorder="1" applyAlignment="1" applyProtection="1">
      <alignment horizontal="center" vertical="center" wrapText="1"/>
      <protection locked="0"/>
    </xf>
    <xf numFmtId="172" fontId="5" fillId="39" borderId="10" xfId="44" applyNumberFormat="1" applyFont="1" applyFill="1" applyBorder="1" applyAlignment="1" applyProtection="1">
      <alignment horizontal="center" wrapText="1"/>
      <protection locked="0"/>
    </xf>
    <xf numFmtId="0" fontId="5" fillId="39" borderId="10" xfId="0" applyFont="1" applyFill="1" applyBorder="1" applyAlignment="1" applyProtection="1">
      <alignment horizontal="center" wrapText="1"/>
      <protection locked="0"/>
    </xf>
    <xf numFmtId="172" fontId="5" fillId="39" borderId="14" xfId="44" applyNumberFormat="1" applyFont="1" applyFill="1" applyBorder="1" applyAlignment="1" applyProtection="1">
      <alignment horizontal="right"/>
      <protection locked="0"/>
    </xf>
    <xf numFmtId="0" fontId="5" fillId="39" borderId="25" xfId="0" applyFont="1" applyFill="1" applyBorder="1" applyAlignment="1" applyProtection="1">
      <alignment horizontal="center" vertical="center" wrapText="1"/>
      <protection locked="0"/>
    </xf>
    <xf numFmtId="0" fontId="5" fillId="39" borderId="19" xfId="0" applyFont="1" applyFill="1" applyBorder="1" applyAlignment="1" applyProtection="1">
      <alignment horizontal="center" vertical="center" wrapText="1"/>
      <protection locked="0"/>
    </xf>
    <xf numFmtId="0" fontId="5" fillId="39" borderId="20" xfId="0" applyFont="1" applyFill="1" applyBorder="1" applyAlignment="1" applyProtection="1">
      <alignment horizontal="center" wrapText="1"/>
      <protection locked="0"/>
    </xf>
    <xf numFmtId="0" fontId="5" fillId="39" borderId="18" xfId="0" applyFont="1" applyFill="1" applyBorder="1" applyAlignment="1" applyProtection="1">
      <alignment horizontal="left" wrapText="1"/>
      <protection locked="0"/>
    </xf>
    <xf numFmtId="0" fontId="5" fillId="39" borderId="18" xfId="0" applyFont="1" applyFill="1" applyBorder="1" applyAlignment="1" applyProtection="1">
      <alignment horizontal="center" wrapText="1"/>
      <protection locked="0"/>
    </xf>
    <xf numFmtId="0" fontId="5" fillId="39" borderId="12" xfId="0" applyFont="1" applyFill="1" applyBorder="1" applyAlignment="1">
      <alignment horizontal="center" vertical="center"/>
    </xf>
    <xf numFmtId="0" fontId="5" fillId="39" borderId="12" xfId="0" applyFont="1" applyFill="1" applyBorder="1" applyAlignment="1">
      <alignment horizontal="center" vertical="center" wrapText="1"/>
    </xf>
    <xf numFmtId="0" fontId="17" fillId="34" borderId="10" xfId="0" applyFont="1" applyFill="1" applyBorder="1" applyAlignment="1" applyProtection="1">
      <alignment wrapText="1"/>
      <protection locked="0"/>
    </xf>
    <xf numFmtId="172" fontId="16" fillId="33" borderId="10" xfId="42" applyNumberFormat="1" applyFont="1" applyFill="1" applyBorder="1" applyAlignment="1" applyProtection="1">
      <alignment horizontal="right" vertical="center"/>
      <protection locked="0"/>
    </xf>
    <xf numFmtId="0" fontId="17" fillId="33" borderId="10" xfId="0" applyFont="1" applyFill="1" applyBorder="1" applyAlignment="1" applyProtection="1">
      <alignment wrapText="1"/>
      <protection locked="0"/>
    </xf>
    <xf numFmtId="172" fontId="23" fillId="39" borderId="10" xfId="42" applyNumberFormat="1" applyFont="1" applyFill="1" applyBorder="1" applyAlignment="1" applyProtection="1">
      <alignment horizontal="center" vertical="center" wrapText="1"/>
      <protection locked="0"/>
    </xf>
    <xf numFmtId="0" fontId="11" fillId="0" borderId="44" xfId="0" applyFont="1" applyFill="1" applyBorder="1" applyAlignment="1" applyProtection="1">
      <alignment vertical="center" wrapText="1"/>
      <protection/>
    </xf>
    <xf numFmtId="0" fontId="3" fillId="0" borderId="18" xfId="0" applyFont="1" applyFill="1" applyBorder="1" applyAlignment="1" applyProtection="1">
      <alignment wrapText="1"/>
      <protection locked="0"/>
    </xf>
    <xf numFmtId="0" fontId="3" fillId="4" borderId="18" xfId="0" applyFont="1" applyFill="1" applyBorder="1" applyAlignment="1" applyProtection="1">
      <alignment wrapText="1"/>
      <protection locked="0"/>
    </xf>
    <xf numFmtId="43" fontId="5" fillId="34" borderId="18" xfId="44" applyFont="1" applyFill="1" applyBorder="1" applyAlignment="1" applyProtection="1">
      <alignment wrapText="1"/>
      <protection locked="0"/>
    </xf>
    <xf numFmtId="0" fontId="3" fillId="34" borderId="18" xfId="0" applyFont="1" applyFill="1" applyBorder="1" applyAlignment="1" applyProtection="1">
      <alignment wrapText="1"/>
      <protection locked="0"/>
    </xf>
    <xf numFmtId="0" fontId="3" fillId="33" borderId="18" xfId="0" applyFont="1" applyFill="1" applyBorder="1" applyAlignment="1" applyProtection="1">
      <alignment wrapText="1"/>
      <protection locked="0"/>
    </xf>
    <xf numFmtId="43" fontId="100" fillId="34" borderId="18" xfId="44" applyFont="1" applyFill="1" applyBorder="1" applyAlignment="1" applyProtection="1">
      <alignment wrapText="1"/>
      <protection locked="0"/>
    </xf>
    <xf numFmtId="172" fontId="100" fillId="0" borderId="19" xfId="44" applyNumberFormat="1" applyFont="1" applyFill="1" applyBorder="1" applyAlignment="1" applyProtection="1">
      <alignment vertical="center"/>
      <protection locked="0"/>
    </xf>
    <xf numFmtId="172" fontId="5" fillId="34" borderId="34" xfId="44" applyNumberFormat="1" applyFont="1" applyFill="1" applyBorder="1" applyAlignment="1" applyProtection="1">
      <alignment vertical="center"/>
      <protection locked="0"/>
    </xf>
    <xf numFmtId="3" fontId="4" fillId="0" borderId="12" xfId="44" applyNumberFormat="1" applyFont="1" applyFill="1" applyBorder="1" applyAlignment="1" applyProtection="1">
      <alignment vertical="center"/>
      <protection locked="0"/>
    </xf>
    <xf numFmtId="0" fontId="4" fillId="33" borderId="10" xfId="0" applyFont="1" applyFill="1" applyBorder="1" applyAlignment="1" applyProtection="1">
      <alignment horizontal="center" vertical="center" wrapText="1"/>
      <protection locked="0"/>
    </xf>
    <xf numFmtId="172" fontId="23" fillId="39" borderId="10" xfId="44" applyNumberFormat="1" applyFont="1" applyFill="1" applyBorder="1" applyAlignment="1" applyProtection="1">
      <alignment vertical="center" wrapText="1"/>
      <protection locked="0"/>
    </xf>
    <xf numFmtId="172" fontId="23" fillId="39" borderId="10" xfId="44" applyNumberFormat="1" applyFont="1" applyFill="1" applyBorder="1" applyAlignment="1" applyProtection="1">
      <alignment horizontal="center" wrapText="1"/>
      <protection locked="0"/>
    </xf>
    <xf numFmtId="43" fontId="0" fillId="0" borderId="0" xfId="0" applyNumberFormat="1" applyAlignment="1">
      <alignment/>
    </xf>
    <xf numFmtId="0" fontId="34" fillId="0" borderId="0" xfId="0" applyFont="1" applyAlignment="1">
      <alignment/>
    </xf>
    <xf numFmtId="0" fontId="35" fillId="0" borderId="0" xfId="0" applyFont="1" applyAlignment="1">
      <alignment/>
    </xf>
    <xf numFmtId="0" fontId="35" fillId="0" borderId="47" xfId="0" applyFont="1" applyBorder="1" applyAlignment="1">
      <alignment wrapText="1"/>
    </xf>
    <xf numFmtId="43" fontId="35" fillId="0" borderId="48" xfId="0" applyNumberFormat="1" applyFont="1" applyBorder="1" applyAlignment="1">
      <alignment wrapText="1"/>
    </xf>
    <xf numFmtId="43" fontId="35" fillId="0" borderId="49" xfId="0" applyNumberFormat="1" applyFont="1" applyBorder="1" applyAlignment="1">
      <alignment wrapText="1"/>
    </xf>
    <xf numFmtId="0" fontId="35" fillId="0" borderId="50" xfId="0" applyFont="1" applyBorder="1" applyAlignment="1">
      <alignment wrapText="1"/>
    </xf>
    <xf numFmtId="43" fontId="35" fillId="0" borderId="51" xfId="0" applyNumberFormat="1" applyFont="1" applyBorder="1" applyAlignment="1">
      <alignment wrapText="1"/>
    </xf>
    <xf numFmtId="43" fontId="35" fillId="0" borderId="52" xfId="0" applyNumberFormat="1" applyFont="1" applyBorder="1" applyAlignment="1">
      <alignment wrapText="1"/>
    </xf>
    <xf numFmtId="0" fontId="34" fillId="0" borderId="53" xfId="0" applyFont="1" applyBorder="1" applyAlignment="1">
      <alignment/>
    </xf>
    <xf numFmtId="43" fontId="34" fillId="0" borderId="54" xfId="0" applyNumberFormat="1" applyFont="1" applyBorder="1" applyAlignment="1">
      <alignment wrapText="1"/>
    </xf>
    <xf numFmtId="43" fontId="34" fillId="0" borderId="55" xfId="0" applyNumberFormat="1" applyFont="1" applyBorder="1" applyAlignment="1">
      <alignment wrapText="1"/>
    </xf>
    <xf numFmtId="43" fontId="35" fillId="0" borderId="0" xfId="0" applyNumberFormat="1" applyFont="1" applyAlignment="1">
      <alignment/>
    </xf>
    <xf numFmtId="0" fontId="35" fillId="39" borderId="56" xfId="0" applyFont="1" applyFill="1" applyBorder="1" applyAlignment="1">
      <alignment/>
    </xf>
    <xf numFmtId="0" fontId="35" fillId="39" borderId="57" xfId="0" applyFont="1" applyFill="1" applyBorder="1" applyAlignment="1">
      <alignment/>
    </xf>
    <xf numFmtId="0" fontId="34" fillId="39" borderId="58" xfId="0" applyFont="1" applyFill="1" applyBorder="1" applyAlignment="1">
      <alignment horizontal="center" wrapText="1"/>
    </xf>
    <xf numFmtId="0" fontId="35" fillId="0" borderId="59" xfId="0" applyFont="1" applyBorder="1" applyAlignment="1">
      <alignment wrapText="1"/>
    </xf>
    <xf numFmtId="43" fontId="35" fillId="0" borderId="59" xfId="0" applyNumberFormat="1" applyFont="1" applyBorder="1" applyAlignment="1">
      <alignment wrapText="1"/>
    </xf>
    <xf numFmtId="0" fontId="35" fillId="0" borderId="60" xfId="0" applyFont="1" applyBorder="1" applyAlignment="1">
      <alignment wrapText="1"/>
    </xf>
    <xf numFmtId="43" fontId="35" fillId="0" borderId="60" xfId="0" applyNumberFormat="1" applyFont="1" applyBorder="1" applyAlignment="1">
      <alignment wrapText="1"/>
    </xf>
    <xf numFmtId="0" fontId="35" fillId="0" borderId="61" xfId="0" applyFont="1" applyBorder="1" applyAlignment="1">
      <alignment/>
    </xf>
    <xf numFmtId="43" fontId="35" fillId="0" borderId="61" xfId="0" applyNumberFormat="1" applyFont="1" applyBorder="1" applyAlignment="1">
      <alignment wrapText="1"/>
    </xf>
    <xf numFmtId="9" fontId="35" fillId="0" borderId="59" xfId="62" applyFont="1" applyBorder="1" applyAlignment="1">
      <alignment wrapText="1"/>
    </xf>
    <xf numFmtId="9" fontId="35" fillId="0" borderId="60" xfId="62" applyFont="1" applyBorder="1" applyAlignment="1">
      <alignment wrapText="1"/>
    </xf>
    <xf numFmtId="0" fontId="35" fillId="0" borderId="60" xfId="0" applyFont="1" applyBorder="1" applyAlignment="1">
      <alignment/>
    </xf>
    <xf numFmtId="43" fontId="35" fillId="0" borderId="62" xfId="0" applyNumberFormat="1" applyFont="1" applyBorder="1" applyAlignment="1">
      <alignment wrapText="1"/>
    </xf>
    <xf numFmtId="0" fontId="35" fillId="0" borderId="63" xfId="0" applyFont="1" applyBorder="1" applyAlignment="1">
      <alignment/>
    </xf>
    <xf numFmtId="43" fontId="35" fillId="0" borderId="64" xfId="0" applyNumberFormat="1" applyFont="1" applyBorder="1" applyAlignment="1">
      <alignment wrapText="1"/>
    </xf>
    <xf numFmtId="0" fontId="35" fillId="0" borderId="65" xfId="0" applyFont="1" applyBorder="1" applyAlignment="1">
      <alignment/>
    </xf>
    <xf numFmtId="0" fontId="35" fillId="0" borderId="66" xfId="0" applyFont="1" applyBorder="1" applyAlignment="1">
      <alignment/>
    </xf>
    <xf numFmtId="43" fontId="35" fillId="0" borderId="67" xfId="0" applyNumberFormat="1" applyFont="1" applyBorder="1" applyAlignment="1">
      <alignment wrapText="1"/>
    </xf>
    <xf numFmtId="43" fontId="35" fillId="0" borderId="68" xfId="0" applyNumberFormat="1" applyFont="1" applyBorder="1" applyAlignment="1">
      <alignment wrapText="1"/>
    </xf>
    <xf numFmtId="43" fontId="35" fillId="0" borderId="69" xfId="0" applyNumberFormat="1" applyFont="1" applyBorder="1" applyAlignment="1">
      <alignment wrapText="1"/>
    </xf>
    <xf numFmtId="43" fontId="35" fillId="0" borderId="70" xfId="0" applyNumberFormat="1" applyFont="1" applyBorder="1" applyAlignment="1">
      <alignment wrapText="1"/>
    </xf>
    <xf numFmtId="0" fontId="35" fillId="0" borderId="71" xfId="0" applyFont="1" applyBorder="1" applyAlignment="1">
      <alignment/>
    </xf>
    <xf numFmtId="0" fontId="34" fillId="0" borderId="66" xfId="0" applyFont="1" applyBorder="1" applyAlignment="1">
      <alignment/>
    </xf>
    <xf numFmtId="0" fontId="34" fillId="0" borderId="63" xfId="0" applyFont="1" applyBorder="1" applyAlignment="1">
      <alignment/>
    </xf>
    <xf numFmtId="0" fontId="34" fillId="0" borderId="72" xfId="0" applyFont="1" applyBorder="1" applyAlignment="1">
      <alignment/>
    </xf>
    <xf numFmtId="0" fontId="34" fillId="0" borderId="71" xfId="0" applyFont="1" applyBorder="1" applyAlignment="1">
      <alignment/>
    </xf>
    <xf numFmtId="43" fontId="34" fillId="0" borderId="73" xfId="0" applyNumberFormat="1" applyFont="1" applyBorder="1" applyAlignment="1">
      <alignment wrapText="1"/>
    </xf>
    <xf numFmtId="43" fontId="34" fillId="0" borderId="74" xfId="0" applyNumberFormat="1" applyFont="1" applyBorder="1" applyAlignment="1">
      <alignment wrapText="1"/>
    </xf>
    <xf numFmtId="0" fontId="34" fillId="4" borderId="75" xfId="0" applyFont="1" applyFill="1" applyBorder="1" applyAlignment="1">
      <alignment horizontal="center" wrapText="1"/>
    </xf>
    <xf numFmtId="0" fontId="34" fillId="4" borderId="76" xfId="0" applyFont="1" applyFill="1" applyBorder="1" applyAlignment="1">
      <alignment horizontal="center" wrapText="1"/>
    </xf>
    <xf numFmtId="0" fontId="36" fillId="0" borderId="0" xfId="0" applyFont="1" applyAlignment="1">
      <alignment/>
    </xf>
    <xf numFmtId="0" fontId="34" fillId="3" borderId="77" xfId="0" applyFont="1" applyFill="1" applyBorder="1" applyAlignment="1">
      <alignment horizontal="center" wrapText="1"/>
    </xf>
    <xf numFmtId="43" fontId="35" fillId="0" borderId="59" xfId="0" applyNumberFormat="1" applyFont="1" applyBorder="1" applyAlignment="1">
      <alignment/>
    </xf>
    <xf numFmtId="43" fontId="35" fillId="0" borderId="60" xfId="0" applyNumberFormat="1" applyFont="1" applyBorder="1" applyAlignment="1">
      <alignment/>
    </xf>
    <xf numFmtId="43" fontId="35" fillId="0" borderId="61" xfId="0" applyNumberFormat="1" applyFont="1" applyBorder="1" applyAlignment="1">
      <alignment/>
    </xf>
    <xf numFmtId="0" fontId="36" fillId="0" borderId="0" xfId="0" applyFont="1" applyBorder="1" applyAlignment="1">
      <alignment/>
    </xf>
    <xf numFmtId="43" fontId="35" fillId="0" borderId="64" xfId="0" applyNumberFormat="1" applyFont="1" applyBorder="1" applyAlignment="1">
      <alignment/>
    </xf>
    <xf numFmtId="43" fontId="35" fillId="0" borderId="78" xfId="0" applyNumberFormat="1" applyFont="1" applyBorder="1" applyAlignment="1">
      <alignment/>
    </xf>
    <xf numFmtId="43" fontId="35" fillId="0" borderId="68" xfId="0" applyNumberFormat="1" applyFont="1" applyBorder="1" applyAlignment="1">
      <alignment/>
    </xf>
    <xf numFmtId="0" fontId="35" fillId="0" borderId="74" xfId="0" applyFont="1" applyBorder="1" applyAlignment="1">
      <alignment horizontal="center"/>
    </xf>
    <xf numFmtId="0" fontId="4" fillId="39" borderId="46" xfId="0" applyFont="1" applyFill="1" applyBorder="1" applyAlignment="1" applyProtection="1">
      <alignment horizontal="center" vertical="center" wrapText="1"/>
      <protection locked="0"/>
    </xf>
    <xf numFmtId="0" fontId="4" fillId="39" borderId="33" xfId="0" applyFont="1" applyFill="1" applyBorder="1" applyAlignment="1" applyProtection="1">
      <alignment horizontal="center" vertical="center" wrapText="1"/>
      <protection locked="0"/>
    </xf>
    <xf numFmtId="0" fontId="4" fillId="39" borderId="44" xfId="0" applyFont="1" applyFill="1" applyBorder="1" applyAlignment="1" applyProtection="1">
      <alignment horizontal="center" vertical="center" wrapText="1"/>
      <protection locked="0"/>
    </xf>
    <xf numFmtId="172" fontId="5" fillId="39" borderId="34" xfId="44" applyNumberFormat="1" applyFont="1" applyFill="1" applyBorder="1" applyAlignment="1" applyProtection="1">
      <alignment horizontal="center" wrapText="1"/>
      <protection locked="0"/>
    </xf>
    <xf numFmtId="172" fontId="5" fillId="39" borderId="38" xfId="44" applyNumberFormat="1" applyFont="1" applyFill="1" applyBorder="1" applyAlignment="1" applyProtection="1">
      <alignment horizontal="center" wrapText="1"/>
      <protection locked="0"/>
    </xf>
    <xf numFmtId="172" fontId="5" fillId="39" borderId="12" xfId="44" applyNumberFormat="1" applyFont="1" applyFill="1" applyBorder="1" applyAlignment="1" applyProtection="1">
      <alignment horizontal="center" wrapText="1"/>
      <protection locked="0"/>
    </xf>
    <xf numFmtId="172" fontId="5" fillId="39" borderId="21" xfId="44" applyNumberFormat="1" applyFont="1" applyFill="1" applyBorder="1" applyAlignment="1" applyProtection="1">
      <alignment horizontal="center" wrapText="1"/>
      <protection locked="0"/>
    </xf>
    <xf numFmtId="172" fontId="5" fillId="39" borderId="10" xfId="44" applyNumberFormat="1" applyFont="1" applyFill="1" applyBorder="1" applyAlignment="1" applyProtection="1">
      <alignment wrapText="1"/>
      <protection locked="0"/>
    </xf>
    <xf numFmtId="0" fontId="16" fillId="8" borderId="10" xfId="0" applyFont="1" applyFill="1" applyBorder="1" applyAlignment="1" applyProtection="1">
      <alignment horizontal="center" wrapText="1"/>
      <protection locked="0"/>
    </xf>
    <xf numFmtId="172" fontId="16" fillId="8" borderId="10" xfId="42" applyNumberFormat="1" applyFont="1" applyFill="1" applyBorder="1" applyAlignment="1" applyProtection="1">
      <alignment horizontal="center" vertical="center" wrapText="1"/>
      <protection locked="0"/>
    </xf>
    <xf numFmtId="172" fontId="16" fillId="39" borderId="10" xfId="42" applyNumberFormat="1" applyFont="1" applyFill="1" applyBorder="1" applyAlignment="1" applyProtection="1">
      <alignment horizontal="center" wrapText="1"/>
      <protection locked="0"/>
    </xf>
    <xf numFmtId="172" fontId="16" fillId="39" borderId="21" xfId="42" applyNumberFormat="1" applyFont="1" applyFill="1" applyBorder="1" applyAlignment="1" applyProtection="1">
      <alignment horizontal="center" wrapText="1"/>
      <protection locked="0"/>
    </xf>
    <xf numFmtId="0" fontId="11" fillId="0" borderId="10" xfId="0" applyFont="1" applyFill="1" applyBorder="1" applyAlignment="1" applyProtection="1">
      <alignment vertical="top" wrapText="1"/>
      <protection/>
    </xf>
    <xf numFmtId="0" fontId="3" fillId="0" borderId="26" xfId="0" applyFont="1" applyFill="1" applyBorder="1" applyAlignment="1" applyProtection="1">
      <alignment horizontal="left" vertical="center" wrapText="1"/>
      <protection/>
    </xf>
    <xf numFmtId="172" fontId="5" fillId="8" borderId="10" xfId="44" applyNumberFormat="1" applyFont="1" applyFill="1" applyBorder="1" applyAlignment="1" applyProtection="1">
      <alignment horizontal="center" wrapText="1"/>
      <protection locked="0"/>
    </xf>
    <xf numFmtId="172" fontId="5" fillId="39" borderId="10" xfId="44" applyNumberFormat="1" applyFont="1" applyFill="1" applyBorder="1" applyAlignment="1" applyProtection="1">
      <alignment horizontal="center" wrapText="1"/>
      <protection locked="0"/>
    </xf>
    <xf numFmtId="0" fontId="3" fillId="0" borderId="26" xfId="0" applyFont="1" applyFill="1" applyBorder="1" applyAlignment="1" applyProtection="1">
      <alignment horizontal="left" vertical="top" wrapText="1"/>
      <protection/>
    </xf>
    <xf numFmtId="0" fontId="5" fillId="39" borderId="33" xfId="0" applyFont="1" applyFill="1" applyBorder="1" applyAlignment="1" applyProtection="1">
      <alignment horizontal="center" vertical="center" wrapText="1"/>
      <protection locked="0"/>
    </xf>
    <xf numFmtId="0" fontId="5" fillId="39" borderId="10" xfId="0" applyFont="1" applyFill="1" applyBorder="1" applyAlignment="1" applyProtection="1">
      <alignment horizontal="center" vertical="center" wrapText="1"/>
      <protection locked="0"/>
    </xf>
    <xf numFmtId="172" fontId="5" fillId="39" borderId="10" xfId="44" applyNumberFormat="1" applyFont="1" applyFill="1" applyBorder="1" applyAlignment="1" applyProtection="1">
      <alignment horizontal="center" vertical="center" wrapText="1"/>
      <protection locked="0"/>
    </xf>
    <xf numFmtId="0" fontId="102" fillId="0" borderId="14" xfId="0" applyFont="1" applyBorder="1" applyAlignment="1">
      <alignment vertical="top" wrapText="1"/>
    </xf>
    <xf numFmtId="0" fontId="102" fillId="34" borderId="11" xfId="0" applyFont="1" applyFill="1" applyBorder="1" applyAlignment="1">
      <alignment vertical="top" wrapText="1"/>
    </xf>
    <xf numFmtId="0" fontId="101" fillId="0" borderId="0" xfId="0" applyFont="1" applyAlignment="1">
      <alignment vertical="top" wrapText="1"/>
    </xf>
    <xf numFmtId="0" fontId="102" fillId="0" borderId="13" xfId="0" applyFont="1" applyBorder="1" applyAlignment="1">
      <alignment vertical="top" wrapText="1"/>
    </xf>
    <xf numFmtId="0" fontId="115" fillId="0" borderId="14" xfId="0" applyFont="1" applyBorder="1" applyAlignment="1">
      <alignment vertical="top" wrapText="1"/>
    </xf>
    <xf numFmtId="0" fontId="115" fillId="0" borderId="0" xfId="0" applyFont="1" applyAlignment="1">
      <alignment vertical="top" wrapText="1"/>
    </xf>
    <xf numFmtId="0" fontId="102" fillId="0" borderId="10" xfId="0" applyFont="1" applyBorder="1" applyAlignment="1">
      <alignment vertical="top" wrapText="1"/>
    </xf>
    <xf numFmtId="0" fontId="102" fillId="0" borderId="11" xfId="0" applyFont="1" applyBorder="1" applyAlignment="1">
      <alignment vertical="top" wrapText="1"/>
    </xf>
    <xf numFmtId="172" fontId="16" fillId="39" borderId="10" xfId="42" applyNumberFormat="1" applyFont="1" applyFill="1" applyBorder="1" applyAlignment="1" applyProtection="1">
      <alignment horizontal="center" wrapText="1"/>
      <protection locked="0"/>
    </xf>
    <xf numFmtId="172" fontId="16" fillId="39" borderId="21" xfId="42" applyNumberFormat="1" applyFont="1" applyFill="1" applyBorder="1" applyAlignment="1" applyProtection="1">
      <alignment horizontal="center" wrapText="1"/>
      <protection locked="0"/>
    </xf>
    <xf numFmtId="0" fontId="16" fillId="39" borderId="25" xfId="0" applyFont="1" applyFill="1" applyBorder="1" applyAlignment="1" applyProtection="1">
      <alignment horizontal="center" vertical="center" wrapText="1"/>
      <protection locked="0"/>
    </xf>
    <xf numFmtId="0" fontId="16" fillId="39" borderId="46" xfId="0" applyFont="1" applyFill="1" applyBorder="1" applyAlignment="1" applyProtection="1">
      <alignment horizontal="center" vertical="center" wrapText="1"/>
      <protection locked="0"/>
    </xf>
    <xf numFmtId="0" fontId="5" fillId="39" borderId="35" xfId="0" applyFont="1" applyFill="1" applyBorder="1" applyAlignment="1" applyProtection="1">
      <alignment horizontal="center" vertical="center" wrapText="1"/>
      <protection locked="0"/>
    </xf>
    <xf numFmtId="0" fontId="5" fillId="39" borderId="28" xfId="0" applyFont="1" applyFill="1" applyBorder="1" applyAlignment="1" applyProtection="1">
      <alignment horizontal="center" vertical="center" wrapText="1"/>
      <protection locked="0"/>
    </xf>
    <xf numFmtId="0" fontId="5" fillId="39" borderId="35" xfId="0" applyFont="1" applyFill="1" applyBorder="1" applyAlignment="1" applyProtection="1">
      <alignment horizontal="center" wrapText="1"/>
      <protection locked="0"/>
    </xf>
    <xf numFmtId="0" fontId="5" fillId="39" borderId="30" xfId="0" applyFont="1" applyFill="1" applyBorder="1" applyAlignment="1" applyProtection="1">
      <alignment horizontal="center" wrapText="1"/>
      <protection locked="0"/>
    </xf>
    <xf numFmtId="0" fontId="5" fillId="39" borderId="28" xfId="0" applyFont="1" applyFill="1" applyBorder="1" applyAlignment="1" applyProtection="1">
      <alignment horizontal="center" wrapText="1"/>
      <protection locked="0"/>
    </xf>
    <xf numFmtId="172" fontId="5" fillId="39" borderId="34" xfId="44" applyNumberFormat="1" applyFont="1" applyFill="1" applyBorder="1" applyAlignment="1" applyProtection="1">
      <alignment horizontal="center" wrapText="1"/>
      <protection locked="0"/>
    </xf>
    <xf numFmtId="172" fontId="5" fillId="39" borderId="38" xfId="44" applyNumberFormat="1" applyFont="1" applyFill="1" applyBorder="1" applyAlignment="1" applyProtection="1">
      <alignment horizontal="center" wrapText="1"/>
      <protection locked="0"/>
    </xf>
    <xf numFmtId="172" fontId="5" fillId="39" borderId="12" xfId="44" applyNumberFormat="1" applyFont="1" applyFill="1" applyBorder="1" applyAlignment="1" applyProtection="1">
      <alignment horizontal="center" wrapText="1"/>
      <protection locked="0"/>
    </xf>
    <xf numFmtId="172" fontId="5" fillId="39" borderId="35" xfId="44" applyNumberFormat="1" applyFont="1" applyFill="1" applyBorder="1" applyAlignment="1" applyProtection="1">
      <alignment horizontal="center" vertical="center" wrapText="1"/>
      <protection locked="0"/>
    </xf>
    <xf numFmtId="172" fontId="5" fillId="39" borderId="30" xfId="44" applyNumberFormat="1" applyFont="1" applyFill="1" applyBorder="1" applyAlignment="1" applyProtection="1">
      <alignment horizontal="center" vertical="center" wrapText="1"/>
      <protection locked="0"/>
    </xf>
    <xf numFmtId="172" fontId="5" fillId="39" borderId="28" xfId="44" applyNumberFormat="1" applyFont="1" applyFill="1" applyBorder="1" applyAlignment="1" applyProtection="1">
      <alignment horizontal="center" vertical="center" wrapText="1"/>
      <protection locked="0"/>
    </xf>
    <xf numFmtId="172" fontId="5" fillId="39" borderId="10" xfId="44" applyNumberFormat="1" applyFont="1" applyFill="1" applyBorder="1" applyAlignment="1" applyProtection="1">
      <alignment horizontal="center" wrapText="1"/>
      <protection locked="0"/>
    </xf>
    <xf numFmtId="0" fontId="4" fillId="39" borderId="28" xfId="0" applyFont="1" applyFill="1" applyBorder="1" applyAlignment="1" applyProtection="1">
      <alignment horizontal="center" vertical="center" wrapText="1"/>
      <protection locked="0"/>
    </xf>
    <xf numFmtId="0" fontId="5" fillId="39" borderId="30" xfId="0" applyFont="1" applyFill="1" applyBorder="1" applyAlignment="1" applyProtection="1">
      <alignment horizontal="center" vertical="center" wrapText="1"/>
      <protection locked="0"/>
    </xf>
    <xf numFmtId="0" fontId="16" fillId="8" borderId="46" xfId="0" applyFont="1" applyFill="1" applyBorder="1" applyAlignment="1" applyProtection="1">
      <alignment horizontal="center" vertical="center" wrapText="1"/>
      <protection locked="0"/>
    </xf>
    <xf numFmtId="172" fontId="16" fillId="8" borderId="10" xfId="42" applyNumberFormat="1" applyFont="1" applyFill="1" applyBorder="1" applyAlignment="1" applyProtection="1">
      <alignment horizontal="center" wrapText="1"/>
      <protection locked="0"/>
    </xf>
    <xf numFmtId="0" fontId="16" fillId="8" borderId="25" xfId="0" applyFont="1" applyFill="1" applyBorder="1" applyAlignment="1" applyProtection="1">
      <alignment horizontal="center" vertical="center" wrapText="1"/>
      <protection locked="0"/>
    </xf>
    <xf numFmtId="0" fontId="16" fillId="8" borderId="20" xfId="0" applyFont="1" applyFill="1" applyBorder="1" applyAlignment="1" applyProtection="1">
      <alignment horizontal="center" vertical="center" wrapText="1"/>
      <protection locked="0"/>
    </xf>
    <xf numFmtId="0" fontId="16" fillId="8" borderId="18" xfId="0" applyFont="1" applyFill="1" applyBorder="1" applyAlignment="1" applyProtection="1">
      <alignment horizontal="center" wrapText="1"/>
      <protection locked="0"/>
    </xf>
    <xf numFmtId="0" fontId="16" fillId="33" borderId="18" xfId="0" applyFont="1" applyFill="1" applyBorder="1" applyAlignment="1" applyProtection="1">
      <alignment horizontal="center" vertical="center" wrapText="1"/>
      <protection locked="0"/>
    </xf>
    <xf numFmtId="0" fontId="3" fillId="0" borderId="14" xfId="0" applyFont="1" applyFill="1" applyBorder="1" applyAlignment="1" applyProtection="1">
      <alignment horizontal="left" vertical="center" wrapText="1"/>
      <protection/>
    </xf>
    <xf numFmtId="0" fontId="3" fillId="0" borderId="0" xfId="0" applyFont="1" applyFill="1" applyBorder="1" applyAlignment="1" applyProtection="1">
      <alignment horizontal="left" vertical="center" wrapText="1"/>
      <protection/>
    </xf>
    <xf numFmtId="0" fontId="3" fillId="0" borderId="10" xfId="0" applyFont="1" applyBorder="1" applyAlignment="1">
      <alignment vertical="top" wrapText="1"/>
    </xf>
    <xf numFmtId="0" fontId="115" fillId="0" borderId="10" xfId="0" applyFont="1" applyBorder="1" applyAlignment="1">
      <alignment vertical="center" wrapText="1"/>
    </xf>
    <xf numFmtId="0" fontId="3" fillId="0" borderId="13" xfId="0" applyFont="1" applyFill="1" applyBorder="1" applyAlignment="1" applyProtection="1">
      <alignment horizontal="left" vertical="center" wrapText="1"/>
      <protection/>
    </xf>
    <xf numFmtId="0" fontId="24" fillId="33" borderId="10" xfId="0" applyFont="1" applyFill="1" applyBorder="1" applyAlignment="1" applyProtection="1">
      <alignment horizontal="left" vertical="center" wrapText="1"/>
      <protection/>
    </xf>
    <xf numFmtId="0" fontId="24" fillId="33" borderId="19" xfId="0" applyFont="1" applyFill="1" applyBorder="1" applyAlignment="1" applyProtection="1">
      <alignment vertical="center" wrapText="1"/>
      <protection/>
    </xf>
    <xf numFmtId="0" fontId="24" fillId="33" borderId="10" xfId="0" applyFont="1" applyFill="1" applyBorder="1" applyAlignment="1" applyProtection="1">
      <alignment horizontal="left" vertical="center" wrapText="1"/>
      <protection/>
    </xf>
    <xf numFmtId="0" fontId="11" fillId="33" borderId="19" xfId="0" applyFont="1" applyFill="1" applyBorder="1" applyAlignment="1" applyProtection="1">
      <alignment vertical="center" wrapText="1"/>
      <protection locked="0"/>
    </xf>
    <xf numFmtId="0" fontId="11" fillId="33" borderId="19" xfId="0" applyFont="1" applyFill="1" applyBorder="1" applyAlignment="1" applyProtection="1">
      <alignment wrapText="1"/>
      <protection locked="0"/>
    </xf>
    <xf numFmtId="0" fontId="12" fillId="33" borderId="18" xfId="0" applyFont="1" applyFill="1" applyBorder="1" applyAlignment="1">
      <alignment horizontal="center" vertical="center"/>
    </xf>
    <xf numFmtId="172" fontId="16" fillId="34" borderId="19" xfId="0" applyNumberFormat="1" applyFont="1" applyFill="1" applyBorder="1" applyAlignment="1" applyProtection="1">
      <alignment horizontal="right"/>
      <protection locked="0"/>
    </xf>
    <xf numFmtId="172" fontId="12" fillId="34" borderId="19" xfId="44" applyNumberFormat="1" applyFont="1" applyFill="1" applyBorder="1" applyAlignment="1" applyProtection="1">
      <alignment horizontal="right" vertical="center"/>
      <protection locked="0"/>
    </xf>
    <xf numFmtId="172" fontId="16" fillId="34" borderId="19" xfId="42" applyNumberFormat="1" applyFont="1" applyFill="1" applyBorder="1" applyAlignment="1" applyProtection="1">
      <alignment horizontal="right" vertical="center"/>
      <protection locked="0"/>
    </xf>
    <xf numFmtId="0" fontId="11" fillId="9" borderId="10" xfId="0" applyFont="1" applyFill="1" applyBorder="1" applyAlignment="1" applyProtection="1">
      <alignment vertical="center" wrapText="1"/>
      <protection locked="0"/>
    </xf>
    <xf numFmtId="0" fontId="116" fillId="0" borderId="0" xfId="0" applyFont="1" applyAlignment="1">
      <alignment vertical="center" wrapText="1"/>
    </xf>
    <xf numFmtId="0" fontId="117" fillId="0" borderId="0" xfId="0" applyFont="1" applyAlignment="1">
      <alignment/>
    </xf>
    <xf numFmtId="0" fontId="2" fillId="0" borderId="10" xfId="0" applyFont="1" applyBorder="1" applyAlignment="1">
      <alignment vertical="top" wrapText="1"/>
    </xf>
    <xf numFmtId="0" fontId="35" fillId="0" borderId="60" xfId="0" applyFont="1" applyBorder="1" applyAlignment="1">
      <alignment wrapText="1"/>
    </xf>
    <xf numFmtId="0" fontId="35" fillId="0" borderId="50" xfId="0" applyFont="1" applyBorder="1" applyAlignment="1">
      <alignment wrapText="1"/>
    </xf>
    <xf numFmtId="0" fontId="0" fillId="0" borderId="0" xfId="0" applyAlignment="1">
      <alignment horizontal="center"/>
    </xf>
    <xf numFmtId="0" fontId="116" fillId="0" borderId="0" xfId="0" applyFont="1" applyAlignment="1">
      <alignment horizontal="center" vertical="center" wrapText="1"/>
    </xf>
    <xf numFmtId="0" fontId="117" fillId="0" borderId="0" xfId="0" applyFont="1" applyAlignment="1">
      <alignment horizontal="center"/>
    </xf>
    <xf numFmtId="0" fontId="118" fillId="0" borderId="0" xfId="0" applyFont="1" applyAlignment="1">
      <alignment horizontal="center"/>
    </xf>
    <xf numFmtId="0" fontId="119" fillId="0" borderId="0" xfId="0" applyFont="1" applyAlignment="1">
      <alignment horizontal="center" vertical="center" wrapText="1"/>
    </xf>
    <xf numFmtId="0" fontId="24" fillId="33" borderId="10" xfId="0" applyFont="1" applyFill="1" applyBorder="1" applyAlignment="1" applyProtection="1">
      <alignment horizontal="left" vertical="center" wrapText="1"/>
      <protection/>
    </xf>
    <xf numFmtId="0" fontId="24" fillId="0" borderId="10" xfId="0" applyFont="1" applyFill="1" applyBorder="1" applyAlignment="1" applyProtection="1">
      <alignment horizontal="left" vertical="center" wrapText="1"/>
      <protection/>
    </xf>
    <xf numFmtId="0" fontId="24" fillId="41" borderId="13" xfId="0" applyFont="1" applyFill="1" applyBorder="1" applyAlignment="1">
      <alignment horizontal="left" vertical="center" wrapText="1" readingOrder="2"/>
    </xf>
    <xf numFmtId="0" fontId="24" fillId="41" borderId="10" xfId="0" applyFont="1" applyFill="1" applyBorder="1" applyAlignment="1">
      <alignment horizontal="left" vertical="center" wrapText="1" readingOrder="2"/>
    </xf>
    <xf numFmtId="0" fontId="38" fillId="0" borderId="0" xfId="0" applyFont="1" applyAlignment="1">
      <alignment horizontal="justify" vertical="center" wrapText="1"/>
    </xf>
    <xf numFmtId="0" fontId="0" fillId="0" borderId="0" xfId="0" applyAlignment="1">
      <alignment/>
    </xf>
    <xf numFmtId="0" fontId="120" fillId="0" borderId="0" xfId="54" applyFont="1" applyAlignment="1" applyProtection="1">
      <alignment horizontal="right" vertical="center" wrapText="1"/>
      <protection/>
    </xf>
    <xf numFmtId="0" fontId="120" fillId="0" borderId="0" xfId="0" applyFont="1" applyAlignment="1">
      <alignment horizontal="right"/>
    </xf>
    <xf numFmtId="0" fontId="121" fillId="0" borderId="0" xfId="0" applyFont="1" applyAlignment="1">
      <alignment horizontal="left" vertical="center" wrapText="1"/>
    </xf>
    <xf numFmtId="0" fontId="118" fillId="0" borderId="0" xfId="0" applyFont="1" applyAlignment="1">
      <alignment horizontal="center"/>
    </xf>
    <xf numFmtId="0" fontId="37" fillId="0" borderId="0" xfId="0" applyFont="1" applyAlignment="1">
      <alignment horizontal="center"/>
    </xf>
    <xf numFmtId="0" fontId="34" fillId="39" borderId="79" xfId="0" applyFont="1" applyFill="1" applyBorder="1" applyAlignment="1">
      <alignment horizontal="center"/>
    </xf>
    <xf numFmtId="0" fontId="34" fillId="39" borderId="80" xfId="0" applyFont="1" applyFill="1" applyBorder="1" applyAlignment="1">
      <alignment horizontal="center"/>
    </xf>
    <xf numFmtId="0" fontId="34" fillId="39" borderId="81" xfId="0" applyFont="1" applyFill="1" applyBorder="1" applyAlignment="1">
      <alignment horizontal="center"/>
    </xf>
    <xf numFmtId="0" fontId="35" fillId="39" borderId="82" xfId="0" applyFont="1" applyFill="1" applyBorder="1" applyAlignment="1">
      <alignment horizontal="center"/>
    </xf>
    <xf numFmtId="0" fontId="35" fillId="39" borderId="83" xfId="0" applyFont="1" applyFill="1" applyBorder="1" applyAlignment="1">
      <alignment horizontal="center"/>
    </xf>
    <xf numFmtId="0" fontId="34" fillId="4" borderId="84" xfId="0" applyFont="1" applyFill="1" applyBorder="1" applyAlignment="1">
      <alignment horizontal="center"/>
    </xf>
    <xf numFmtId="0" fontId="34" fillId="4" borderId="85" xfId="0" applyFont="1" applyFill="1" applyBorder="1" applyAlignment="1">
      <alignment horizontal="center"/>
    </xf>
    <xf numFmtId="0" fontId="34" fillId="4" borderId="86" xfId="0" applyFont="1" applyFill="1" applyBorder="1" applyAlignment="1">
      <alignment horizontal="center" wrapText="1"/>
    </xf>
    <xf numFmtId="0" fontId="34" fillId="4" borderId="87" xfId="0" applyFont="1" applyFill="1" applyBorder="1" applyAlignment="1">
      <alignment horizontal="center" wrapText="1"/>
    </xf>
    <xf numFmtId="0" fontId="34" fillId="4" borderId="71" xfId="0" applyFont="1" applyFill="1" applyBorder="1" applyAlignment="1">
      <alignment horizontal="center"/>
    </xf>
    <xf numFmtId="0" fontId="34" fillId="4" borderId="73" xfId="0" applyFont="1" applyFill="1" applyBorder="1" applyAlignment="1">
      <alignment horizontal="center"/>
    </xf>
    <xf numFmtId="0" fontId="34" fillId="4" borderId="74" xfId="0" applyFont="1" applyFill="1" applyBorder="1" applyAlignment="1">
      <alignment horizontal="center"/>
    </xf>
    <xf numFmtId="0" fontId="34" fillId="3" borderId="88" xfId="0" applyFont="1" applyFill="1" applyBorder="1" applyAlignment="1">
      <alignment horizontal="center"/>
    </xf>
    <xf numFmtId="0" fontId="34" fillId="3" borderId="89" xfId="0" applyFont="1" applyFill="1" applyBorder="1" applyAlignment="1">
      <alignment horizontal="center"/>
    </xf>
    <xf numFmtId="0" fontId="34" fillId="3" borderId="90" xfId="0" applyFont="1" applyFill="1" applyBorder="1" applyAlignment="1">
      <alignment horizontal="center" wrapText="1"/>
    </xf>
    <xf numFmtId="0" fontId="34" fillId="3" borderId="91" xfId="0" applyFont="1" applyFill="1" applyBorder="1" applyAlignment="1">
      <alignment horizontal="center" wrapText="1"/>
    </xf>
    <xf numFmtId="0" fontId="34" fillId="3" borderId="92" xfId="0" applyFont="1" applyFill="1" applyBorder="1" applyAlignment="1">
      <alignment horizontal="center"/>
    </xf>
    <xf numFmtId="0" fontId="34" fillId="3" borderId="93" xfId="0" applyFont="1" applyFill="1" applyBorder="1" applyAlignment="1">
      <alignment horizontal="center"/>
    </xf>
    <xf numFmtId="0" fontId="34" fillId="3" borderId="94" xfId="0" applyFont="1" applyFill="1" applyBorder="1" applyAlignment="1">
      <alignment horizontal="center"/>
    </xf>
    <xf numFmtId="0" fontId="24" fillId="33" borderId="10" xfId="0" applyFont="1" applyFill="1" applyBorder="1" applyAlignment="1" applyProtection="1">
      <alignment vertical="center" wrapText="1"/>
      <protection/>
    </xf>
    <xf numFmtId="0" fontId="24" fillId="33" borderId="10" xfId="0" applyFont="1" applyFill="1" applyBorder="1" applyAlignment="1" applyProtection="1">
      <alignment horizontal="left" vertical="center" wrapText="1"/>
      <protection/>
    </xf>
    <xf numFmtId="0" fontId="24" fillId="33" borderId="19" xfId="0" applyFont="1" applyFill="1" applyBorder="1" applyAlignment="1" applyProtection="1">
      <alignment vertical="center" wrapText="1"/>
      <protection/>
    </xf>
    <xf numFmtId="0" fontId="24" fillId="33" borderId="31" xfId="0" applyFont="1" applyFill="1" applyBorder="1" applyAlignment="1" applyProtection="1">
      <alignment vertical="center" wrapText="1"/>
      <protection/>
    </xf>
    <xf numFmtId="0" fontId="24" fillId="33" borderId="13" xfId="0" applyFont="1" applyFill="1" applyBorder="1" applyAlignment="1" applyProtection="1">
      <alignment vertical="center" wrapText="1"/>
      <protection/>
    </xf>
    <xf numFmtId="0" fontId="15" fillId="40" borderId="34" xfId="0" applyFont="1" applyFill="1" applyBorder="1" applyAlignment="1" applyProtection="1">
      <alignment horizontal="left" vertical="center" wrapText="1"/>
      <protection/>
    </xf>
    <xf numFmtId="0" fontId="15" fillId="40" borderId="38" xfId="0" applyFont="1" applyFill="1" applyBorder="1" applyAlignment="1" applyProtection="1">
      <alignment horizontal="left" vertical="center" wrapText="1"/>
      <protection/>
    </xf>
    <xf numFmtId="0" fontId="15" fillId="40" borderId="12" xfId="0" applyFont="1" applyFill="1" applyBorder="1" applyAlignment="1" applyProtection="1">
      <alignment horizontal="left" vertical="center" wrapText="1"/>
      <protection/>
    </xf>
    <xf numFmtId="0" fontId="15" fillId="39" borderId="34" xfId="0" applyFont="1" applyFill="1" applyBorder="1" applyAlignment="1" applyProtection="1">
      <alignment horizontal="left" vertical="center" wrapText="1"/>
      <protection/>
    </xf>
    <xf numFmtId="0" fontId="15" fillId="39" borderId="38" xfId="0" applyFont="1" applyFill="1" applyBorder="1" applyAlignment="1" applyProtection="1">
      <alignment horizontal="left" vertical="center" wrapText="1"/>
      <protection/>
    </xf>
    <xf numFmtId="0" fontId="15" fillId="39" borderId="12" xfId="0" applyFont="1" applyFill="1" applyBorder="1" applyAlignment="1" applyProtection="1">
      <alignment horizontal="left" vertical="center" wrapText="1"/>
      <protection/>
    </xf>
    <xf numFmtId="0" fontId="24" fillId="33" borderId="10" xfId="0" applyFont="1" applyFill="1" applyBorder="1" applyAlignment="1" applyProtection="1">
      <alignment horizontal="center" vertical="center" wrapText="1"/>
      <protection/>
    </xf>
    <xf numFmtId="0" fontId="24" fillId="33" borderId="19" xfId="0" applyFont="1" applyFill="1" applyBorder="1" applyAlignment="1" applyProtection="1">
      <alignment horizontal="center" vertical="center" wrapText="1"/>
      <protection/>
    </xf>
    <xf numFmtId="0" fontId="24" fillId="33" borderId="13" xfId="0" applyFont="1" applyFill="1" applyBorder="1" applyAlignment="1" applyProtection="1">
      <alignment horizontal="center" vertical="center" wrapText="1"/>
      <protection/>
    </xf>
    <xf numFmtId="0" fontId="24" fillId="33" borderId="31" xfId="0" applyFont="1" applyFill="1" applyBorder="1" applyAlignment="1" applyProtection="1">
      <alignment horizontal="center" vertical="center" wrapText="1"/>
      <protection/>
    </xf>
    <xf numFmtId="172" fontId="23" fillId="39" borderId="19" xfId="44" applyNumberFormat="1" applyFont="1" applyFill="1" applyBorder="1" applyAlignment="1" applyProtection="1">
      <alignment horizontal="center" vertical="center" wrapText="1"/>
      <protection locked="0"/>
    </xf>
    <xf numFmtId="172" fontId="23" fillId="39" borderId="13" xfId="44" applyNumberFormat="1" applyFont="1" applyFill="1" applyBorder="1" applyAlignment="1" applyProtection="1">
      <alignment horizontal="center" vertical="center" wrapText="1"/>
      <protection locked="0"/>
    </xf>
    <xf numFmtId="0" fontId="15" fillId="39" borderId="34" xfId="0" applyFont="1" applyFill="1" applyBorder="1" applyAlignment="1" applyProtection="1">
      <alignment horizontal="center" vertical="center" wrapText="1"/>
      <protection/>
    </xf>
    <xf numFmtId="0" fontId="15" fillId="39" borderId="38" xfId="0" applyFont="1" applyFill="1" applyBorder="1" applyAlignment="1" applyProtection="1">
      <alignment horizontal="center" vertical="center" wrapText="1"/>
      <protection/>
    </xf>
    <xf numFmtId="0" fontId="15" fillId="39" borderId="12" xfId="0" applyFont="1" applyFill="1" applyBorder="1" applyAlignment="1" applyProtection="1">
      <alignment horizontal="center" vertical="center" wrapText="1"/>
      <protection/>
    </xf>
    <xf numFmtId="0" fontId="24" fillId="33" borderId="19" xfId="0" applyFont="1" applyFill="1" applyBorder="1" applyAlignment="1" applyProtection="1">
      <alignment horizontal="left" vertical="center" wrapText="1"/>
      <protection/>
    </xf>
    <xf numFmtId="0" fontId="24" fillId="33" borderId="31" xfId="0" applyFont="1" applyFill="1" applyBorder="1" applyAlignment="1" applyProtection="1">
      <alignment horizontal="left" vertical="center" wrapText="1"/>
      <protection/>
    </xf>
    <xf numFmtId="0" fontId="23" fillId="39" borderId="38" xfId="0" applyFont="1" applyFill="1" applyBorder="1" applyAlignment="1" applyProtection="1">
      <alignment horizontal="left" vertical="center" wrapText="1"/>
      <protection locked="0"/>
    </xf>
    <xf numFmtId="0" fontId="23" fillId="39" borderId="12" xfId="0" applyFont="1" applyFill="1" applyBorder="1" applyAlignment="1" applyProtection="1">
      <alignment horizontal="left" vertical="center" wrapText="1"/>
      <protection locked="0"/>
    </xf>
    <xf numFmtId="0" fontId="24" fillId="33" borderId="13" xfId="0" applyFont="1" applyFill="1" applyBorder="1" applyAlignment="1" applyProtection="1">
      <alignment horizontal="left" vertical="center" wrapText="1"/>
      <protection/>
    </xf>
    <xf numFmtId="0" fontId="106" fillId="40" borderId="34" xfId="0" applyFont="1" applyFill="1" applyBorder="1" applyAlignment="1" applyProtection="1">
      <alignment horizontal="left" vertical="center" wrapText="1"/>
      <protection/>
    </xf>
    <xf numFmtId="0" fontId="106" fillId="40" borderId="38" xfId="0" applyFont="1" applyFill="1" applyBorder="1" applyAlignment="1" applyProtection="1">
      <alignment horizontal="left" vertical="center" wrapText="1"/>
      <protection/>
    </xf>
    <xf numFmtId="0" fontId="106" fillId="40" borderId="12" xfId="0" applyFont="1" applyFill="1" applyBorder="1" applyAlignment="1" applyProtection="1">
      <alignment horizontal="left" vertical="center" wrapText="1"/>
      <protection/>
    </xf>
    <xf numFmtId="0" fontId="23" fillId="39" borderId="34" xfId="0" applyFont="1" applyFill="1" applyBorder="1" applyAlignment="1" applyProtection="1">
      <alignment horizontal="center" vertical="center" wrapText="1"/>
      <protection locked="0"/>
    </xf>
    <xf numFmtId="0" fontId="23" fillId="39" borderId="38" xfId="0" applyFont="1" applyFill="1" applyBorder="1" applyAlignment="1" applyProtection="1">
      <alignment horizontal="center" vertical="center" wrapText="1"/>
      <protection locked="0"/>
    </xf>
    <xf numFmtId="0" fontId="23" fillId="39" borderId="12" xfId="0" applyFont="1" applyFill="1" applyBorder="1" applyAlignment="1" applyProtection="1">
      <alignment horizontal="center" vertical="center" wrapText="1"/>
      <protection locked="0"/>
    </xf>
    <xf numFmtId="0" fontId="10" fillId="33" borderId="30" xfId="0" applyFont="1" applyFill="1" applyBorder="1" applyAlignment="1">
      <alignment horizontal="center" wrapText="1"/>
    </xf>
    <xf numFmtId="43" fontId="23" fillId="39" borderId="10" xfId="42" applyFont="1" applyFill="1" applyBorder="1" applyAlignment="1" applyProtection="1">
      <alignment horizontal="center" vertical="center" wrapText="1"/>
      <protection locked="0"/>
    </xf>
    <xf numFmtId="0" fontId="15" fillId="33" borderId="10" xfId="58" applyFont="1" applyFill="1" applyBorder="1" applyAlignment="1" applyProtection="1">
      <alignment vertical="center" wrapText="1"/>
      <protection/>
    </xf>
    <xf numFmtId="172" fontId="23" fillId="39" borderId="10" xfId="44" applyNumberFormat="1" applyFont="1" applyFill="1" applyBorder="1" applyAlignment="1" applyProtection="1">
      <alignment horizontal="center" vertical="center" wrapText="1"/>
      <protection locked="0"/>
    </xf>
    <xf numFmtId="0" fontId="23" fillId="39" borderId="10" xfId="0" applyFont="1" applyFill="1" applyBorder="1" applyAlignment="1" applyProtection="1">
      <alignment horizontal="center" vertical="center" wrapText="1"/>
      <protection locked="0"/>
    </xf>
    <xf numFmtId="0" fontId="23" fillId="39" borderId="19" xfId="0" applyFont="1" applyFill="1" applyBorder="1" applyAlignment="1" applyProtection="1">
      <alignment horizontal="center" vertical="center" wrapText="1"/>
      <protection locked="0"/>
    </xf>
    <xf numFmtId="0" fontId="23" fillId="39" borderId="31" xfId="0" applyFont="1" applyFill="1" applyBorder="1" applyAlignment="1" applyProtection="1">
      <alignment horizontal="center" vertical="center" wrapText="1"/>
      <protection locked="0"/>
    </xf>
    <xf numFmtId="0" fontId="23" fillId="39" borderId="13" xfId="0" applyFont="1" applyFill="1" applyBorder="1" applyAlignment="1" applyProtection="1">
      <alignment horizontal="center" vertical="center" wrapText="1"/>
      <protection locked="0"/>
    </xf>
    <xf numFmtId="172" fontId="23" fillId="39" borderId="20" xfId="44" applyNumberFormat="1" applyFont="1" applyFill="1" applyBorder="1" applyAlignment="1" applyProtection="1">
      <alignment horizontal="center" vertical="center" wrapText="1"/>
      <protection locked="0"/>
    </xf>
    <xf numFmtId="172" fontId="23" fillId="39" borderId="33" xfId="44" applyNumberFormat="1" applyFont="1" applyFill="1" applyBorder="1" applyAlignment="1" applyProtection="1">
      <alignment horizontal="center" vertical="center" wrapText="1"/>
      <protection locked="0"/>
    </xf>
    <xf numFmtId="172" fontId="23" fillId="39" borderId="18" xfId="44" applyNumberFormat="1" applyFont="1" applyFill="1" applyBorder="1" applyAlignment="1" applyProtection="1">
      <alignment horizontal="center" vertical="center" wrapText="1"/>
      <protection locked="0"/>
    </xf>
    <xf numFmtId="172" fontId="23" fillId="39" borderId="42" xfId="44" applyNumberFormat="1" applyFont="1" applyFill="1" applyBorder="1" applyAlignment="1" applyProtection="1">
      <alignment horizontal="center" vertical="center" wrapText="1"/>
      <protection locked="0"/>
    </xf>
    <xf numFmtId="172" fontId="23" fillId="39" borderId="0" xfId="44" applyNumberFormat="1" applyFont="1" applyFill="1" applyBorder="1" applyAlignment="1" applyProtection="1">
      <alignment horizontal="center" vertical="center" wrapText="1"/>
      <protection locked="0"/>
    </xf>
    <xf numFmtId="172" fontId="23" fillId="39" borderId="44" xfId="44" applyNumberFormat="1" applyFont="1" applyFill="1" applyBorder="1" applyAlignment="1" applyProtection="1">
      <alignment horizontal="center" vertical="center" wrapText="1"/>
      <protection locked="0"/>
    </xf>
    <xf numFmtId="172" fontId="23" fillId="39" borderId="35" xfId="44" applyNumberFormat="1" applyFont="1" applyFill="1" applyBorder="1" applyAlignment="1" applyProtection="1">
      <alignment horizontal="center" vertical="center" wrapText="1"/>
      <protection locked="0"/>
    </xf>
    <xf numFmtId="172" fontId="23" fillId="39" borderId="30" xfId="44" applyNumberFormat="1" applyFont="1" applyFill="1" applyBorder="1" applyAlignment="1" applyProtection="1">
      <alignment horizontal="center" vertical="center" wrapText="1"/>
      <protection locked="0"/>
    </xf>
    <xf numFmtId="172" fontId="23" fillId="39" borderId="28" xfId="44" applyNumberFormat="1" applyFont="1" applyFill="1" applyBorder="1" applyAlignment="1" applyProtection="1">
      <alignment horizontal="center" vertical="center" wrapText="1"/>
      <protection locked="0"/>
    </xf>
    <xf numFmtId="0" fontId="24" fillId="33" borderId="95" xfId="0" applyFont="1" applyFill="1" applyBorder="1" applyAlignment="1" applyProtection="1">
      <alignment horizontal="center" vertical="center" wrapText="1"/>
      <protection/>
    </xf>
    <xf numFmtId="0" fontId="24" fillId="33" borderId="15" xfId="0" applyFont="1" applyFill="1" applyBorder="1" applyAlignment="1" applyProtection="1">
      <alignment horizontal="center" vertical="center" wrapText="1"/>
      <protection/>
    </xf>
    <xf numFmtId="0" fontId="24" fillId="33" borderId="17" xfId="0" applyFont="1" applyFill="1" applyBorder="1" applyAlignment="1" applyProtection="1">
      <alignment horizontal="center" vertical="center" wrapText="1"/>
      <protection/>
    </xf>
    <xf numFmtId="0" fontId="15" fillId="40" borderId="34" xfId="0" applyFont="1" applyFill="1" applyBorder="1" applyAlignment="1" applyProtection="1">
      <alignment horizontal="left" vertical="center" wrapText="1"/>
      <protection/>
    </xf>
    <xf numFmtId="0" fontId="15" fillId="40" borderId="38" xfId="0" applyFont="1" applyFill="1" applyBorder="1" applyAlignment="1" applyProtection="1">
      <alignment horizontal="left" vertical="center" wrapText="1"/>
      <protection/>
    </xf>
    <xf numFmtId="0" fontId="15" fillId="40" borderId="12" xfId="0" applyFont="1" applyFill="1" applyBorder="1" applyAlignment="1" applyProtection="1">
      <alignment horizontal="left" vertical="center" wrapText="1"/>
      <protection/>
    </xf>
    <xf numFmtId="2" fontId="24" fillId="33" borderId="19" xfId="0" applyNumberFormat="1" applyFont="1" applyFill="1" applyBorder="1" applyAlignment="1" applyProtection="1">
      <alignment horizontal="center" vertical="center" wrapText="1"/>
      <protection/>
    </xf>
    <xf numFmtId="2" fontId="24" fillId="33" borderId="31" xfId="0" applyNumberFormat="1" applyFont="1" applyFill="1" applyBorder="1" applyAlignment="1" applyProtection="1">
      <alignment horizontal="center" vertical="center" wrapText="1"/>
      <protection/>
    </xf>
    <xf numFmtId="0" fontId="24" fillId="33" borderId="20" xfId="0" applyFont="1" applyFill="1" applyBorder="1" applyAlignment="1" applyProtection="1">
      <alignment horizontal="center" vertical="center" wrapText="1"/>
      <protection/>
    </xf>
    <xf numFmtId="0" fontId="24" fillId="33" borderId="42" xfId="0" applyFont="1" applyFill="1" applyBorder="1" applyAlignment="1" applyProtection="1">
      <alignment horizontal="center" vertical="center" wrapText="1"/>
      <protection/>
    </xf>
    <xf numFmtId="0" fontId="112" fillId="39" borderId="34" xfId="0" applyFont="1" applyFill="1" applyBorder="1" applyAlignment="1" applyProtection="1">
      <alignment vertical="center"/>
      <protection locked="0"/>
    </xf>
    <xf numFmtId="0" fontId="112" fillId="39" borderId="38" xfId="0" applyFont="1" applyFill="1" applyBorder="1" applyAlignment="1" applyProtection="1">
      <alignment vertical="center"/>
      <protection locked="0"/>
    </xf>
    <xf numFmtId="0" fontId="112" fillId="39" borderId="12" xfId="0" applyFont="1" applyFill="1" applyBorder="1" applyAlignment="1" applyProtection="1">
      <alignment vertical="center"/>
      <protection locked="0"/>
    </xf>
    <xf numFmtId="0" fontId="113" fillId="40" borderId="34" xfId="0" applyFont="1" applyFill="1" applyBorder="1" applyAlignment="1" applyProtection="1">
      <alignment horizontal="center" vertical="center" wrapText="1"/>
      <protection/>
    </xf>
    <xf numFmtId="0" fontId="113" fillId="40" borderId="38" xfId="0" applyFont="1" applyFill="1" applyBorder="1" applyAlignment="1" applyProtection="1">
      <alignment horizontal="center" vertical="center" wrapText="1"/>
      <protection/>
    </xf>
    <xf numFmtId="0" fontId="113" fillId="40" borderId="12" xfId="0" applyFont="1" applyFill="1" applyBorder="1" applyAlignment="1" applyProtection="1">
      <alignment horizontal="center" vertical="center" wrapText="1"/>
      <protection/>
    </xf>
    <xf numFmtId="0" fontId="15" fillId="39" borderId="34" xfId="0" applyFont="1" applyFill="1" applyBorder="1" applyAlignment="1" applyProtection="1">
      <alignment horizontal="left" vertical="center" wrapText="1"/>
      <protection/>
    </xf>
    <xf numFmtId="0" fontId="15" fillId="39" borderId="38" xfId="0" applyFont="1" applyFill="1" applyBorder="1" applyAlignment="1" applyProtection="1">
      <alignment horizontal="left" vertical="center" wrapText="1"/>
      <protection/>
    </xf>
    <xf numFmtId="0" fontId="15" fillId="39" borderId="12" xfId="0" applyFont="1" applyFill="1" applyBorder="1" applyAlignment="1" applyProtection="1">
      <alignment horizontal="left" vertical="center" wrapText="1"/>
      <protection/>
    </xf>
    <xf numFmtId="0" fontId="16" fillId="8" borderId="34" xfId="0" applyFont="1" applyFill="1" applyBorder="1" applyAlignment="1" applyProtection="1">
      <alignment horizontal="left" vertical="top" wrapText="1"/>
      <protection locked="0"/>
    </xf>
    <xf numFmtId="0" fontId="16" fillId="8" borderId="38" xfId="0" applyFont="1" applyFill="1" applyBorder="1" applyAlignment="1" applyProtection="1">
      <alignment horizontal="left" vertical="top" wrapText="1"/>
      <protection locked="0"/>
    </xf>
    <xf numFmtId="0" fontId="16" fillId="8" borderId="12" xfId="0" applyFont="1" applyFill="1" applyBorder="1" applyAlignment="1" applyProtection="1">
      <alignment horizontal="left" vertical="top" wrapText="1"/>
      <protection locked="0"/>
    </xf>
    <xf numFmtId="0" fontId="11" fillId="0" borderId="10" xfId="0" applyFont="1" applyFill="1" applyBorder="1" applyAlignment="1" applyProtection="1">
      <alignment horizontal="center" vertical="center" wrapText="1"/>
      <protection/>
    </xf>
    <xf numFmtId="0" fontId="11" fillId="0" borderId="10" xfId="0" applyFont="1" applyFill="1" applyBorder="1" applyAlignment="1" applyProtection="1">
      <alignment vertical="top" wrapText="1"/>
      <protection/>
    </xf>
    <xf numFmtId="0" fontId="16" fillId="33" borderId="19" xfId="0" applyFont="1" applyFill="1" applyBorder="1" applyAlignment="1" applyProtection="1">
      <alignment horizontal="center" vertical="center" wrapText="1"/>
      <protection locked="0"/>
    </xf>
    <xf numFmtId="0" fontId="16" fillId="33" borderId="31" xfId="0" applyFont="1" applyFill="1" applyBorder="1" applyAlignment="1" applyProtection="1">
      <alignment horizontal="center" vertical="center" wrapText="1"/>
      <protection locked="0"/>
    </xf>
    <xf numFmtId="0" fontId="11" fillId="0" borderId="10" xfId="0" applyFont="1" applyFill="1" applyBorder="1" applyAlignment="1" applyProtection="1">
      <alignment horizontal="left" vertical="top" wrapText="1"/>
      <protection/>
    </xf>
    <xf numFmtId="0" fontId="16" fillId="33" borderId="10" xfId="0" applyFont="1" applyFill="1" applyBorder="1" applyAlignment="1" applyProtection="1">
      <alignment horizontal="center" vertical="center" wrapText="1"/>
      <protection locked="0"/>
    </xf>
    <xf numFmtId="0" fontId="11" fillId="0" borderId="19" xfId="0" applyFont="1" applyFill="1" applyBorder="1" applyAlignment="1" applyProtection="1">
      <alignment horizontal="center" vertical="center" wrapText="1"/>
      <protection/>
    </xf>
    <xf numFmtId="0" fontId="11" fillId="0" borderId="31" xfId="0" applyFont="1" applyFill="1" applyBorder="1" applyAlignment="1" applyProtection="1">
      <alignment horizontal="center" vertical="center" wrapText="1"/>
      <protection/>
    </xf>
    <xf numFmtId="0" fontId="11" fillId="0" borderId="13" xfId="0" applyFont="1" applyFill="1" applyBorder="1" applyAlignment="1" applyProtection="1">
      <alignment horizontal="center" vertical="center" wrapText="1"/>
      <protection/>
    </xf>
    <xf numFmtId="0" fontId="11" fillId="0" borderId="10" xfId="0" applyFont="1" applyFill="1" applyBorder="1" applyAlignment="1" applyProtection="1">
      <alignment horizontal="center" vertical="top" wrapText="1"/>
      <protection/>
    </xf>
    <xf numFmtId="0" fontId="11" fillId="0" borderId="19" xfId="0" applyFont="1" applyFill="1" applyBorder="1" applyAlignment="1" applyProtection="1">
      <alignment horizontal="center" vertical="top" wrapText="1"/>
      <protection/>
    </xf>
    <xf numFmtId="0" fontId="11" fillId="0" borderId="13" xfId="0" applyFont="1" applyFill="1" applyBorder="1" applyAlignment="1" applyProtection="1">
      <alignment horizontal="center" vertical="top" wrapText="1"/>
      <protection/>
    </xf>
    <xf numFmtId="172" fontId="16" fillId="39" borderId="34" xfId="42" applyNumberFormat="1" applyFont="1" applyFill="1" applyBorder="1" applyAlignment="1" applyProtection="1">
      <alignment horizontal="center" wrapText="1"/>
      <protection locked="0"/>
    </xf>
    <xf numFmtId="172" fontId="16" fillId="39" borderId="38" xfId="42" applyNumberFormat="1" applyFont="1" applyFill="1" applyBorder="1" applyAlignment="1" applyProtection="1">
      <alignment horizontal="center" wrapText="1"/>
      <protection locked="0"/>
    </xf>
    <xf numFmtId="172" fontId="16" fillId="39" borderId="12" xfId="42" applyNumberFormat="1" applyFont="1" applyFill="1" applyBorder="1" applyAlignment="1" applyProtection="1">
      <alignment horizontal="center" wrapText="1"/>
      <protection locked="0"/>
    </xf>
    <xf numFmtId="172" fontId="16" fillId="39" borderId="14" xfId="42" applyNumberFormat="1" applyFont="1" applyFill="1" applyBorder="1" applyAlignment="1" applyProtection="1">
      <alignment horizontal="center" wrapText="1"/>
      <protection locked="0"/>
    </xf>
    <xf numFmtId="172" fontId="16" fillId="39" borderId="96" xfId="42" applyNumberFormat="1" applyFont="1" applyFill="1" applyBorder="1" applyAlignment="1" applyProtection="1">
      <alignment horizontal="center" wrapText="1"/>
      <protection locked="0"/>
    </xf>
    <xf numFmtId="172" fontId="16" fillId="39" borderId="22" xfId="42" applyNumberFormat="1" applyFont="1" applyFill="1" applyBorder="1" applyAlignment="1" applyProtection="1">
      <alignment horizontal="center" wrapText="1"/>
      <protection locked="0"/>
    </xf>
    <xf numFmtId="172" fontId="16" fillId="39" borderId="10" xfId="42" applyNumberFormat="1" applyFont="1" applyFill="1" applyBorder="1" applyAlignment="1" applyProtection="1">
      <alignment horizontal="center" wrapText="1"/>
      <protection locked="0"/>
    </xf>
    <xf numFmtId="172" fontId="16" fillId="39" borderId="21" xfId="42" applyNumberFormat="1" applyFont="1" applyFill="1" applyBorder="1" applyAlignment="1" applyProtection="1">
      <alignment horizontal="center" wrapText="1"/>
      <protection locked="0"/>
    </xf>
    <xf numFmtId="172" fontId="16" fillId="39" borderId="34" xfId="42" applyNumberFormat="1" applyFont="1" applyFill="1" applyBorder="1" applyAlignment="1" applyProtection="1">
      <alignment horizontal="center" vertical="center" wrapText="1"/>
      <protection locked="0"/>
    </xf>
    <xf numFmtId="172" fontId="16" fillId="39" borderId="38" xfId="42" applyNumberFormat="1" applyFont="1" applyFill="1" applyBorder="1" applyAlignment="1" applyProtection="1">
      <alignment horizontal="center" vertical="center" wrapText="1"/>
      <protection locked="0"/>
    </xf>
    <xf numFmtId="172" fontId="16" fillId="39" borderId="12" xfId="42" applyNumberFormat="1" applyFont="1" applyFill="1" applyBorder="1" applyAlignment="1" applyProtection="1">
      <alignment horizontal="center" vertical="center" wrapText="1"/>
      <protection locked="0"/>
    </xf>
    <xf numFmtId="172" fontId="16" fillId="39" borderId="26" xfId="42" applyNumberFormat="1" applyFont="1" applyFill="1" applyBorder="1" applyAlignment="1" applyProtection="1">
      <alignment horizontal="center" vertical="center" wrapText="1"/>
      <protection locked="0"/>
    </xf>
    <xf numFmtId="172" fontId="16" fillId="39" borderId="31" xfId="42" applyNumberFormat="1" applyFont="1" applyFill="1" applyBorder="1" applyAlignment="1" applyProtection="1">
      <alignment horizontal="center" vertical="center" wrapText="1"/>
      <protection locked="0"/>
    </xf>
    <xf numFmtId="172" fontId="16" fillId="39" borderId="13" xfId="42" applyNumberFormat="1" applyFont="1" applyFill="1" applyBorder="1" applyAlignment="1" applyProtection="1">
      <alignment horizontal="center" vertical="center" wrapText="1"/>
      <protection locked="0"/>
    </xf>
    <xf numFmtId="0" fontId="15" fillId="33" borderId="24" xfId="0" applyFont="1" applyFill="1" applyBorder="1" applyAlignment="1">
      <alignment horizontal="center" wrapText="1"/>
    </xf>
    <xf numFmtId="0" fontId="16" fillId="39" borderId="97" xfId="0" applyFont="1" applyFill="1" applyBorder="1" applyAlignment="1" applyProtection="1">
      <alignment horizontal="center" vertical="center" wrapText="1"/>
      <protection locked="0"/>
    </xf>
    <xf numFmtId="0" fontId="16" fillId="39" borderId="46" xfId="0" applyFont="1" applyFill="1" applyBorder="1" applyAlignment="1" applyProtection="1">
      <alignment horizontal="center" vertical="center" wrapText="1"/>
      <protection locked="0"/>
    </xf>
    <xf numFmtId="0" fontId="16" fillId="39" borderId="27" xfId="0" applyFont="1" applyFill="1" applyBorder="1" applyAlignment="1" applyProtection="1">
      <alignment horizontal="center" vertical="center" wrapText="1"/>
      <protection locked="0"/>
    </xf>
    <xf numFmtId="0" fontId="29" fillId="39" borderId="96" xfId="0" applyFont="1" applyFill="1" applyBorder="1" applyAlignment="1">
      <alignment horizontal="center" vertical="center" wrapText="1"/>
    </xf>
    <xf numFmtId="0" fontId="104" fillId="39" borderId="46" xfId="0" applyFont="1" applyFill="1" applyBorder="1" applyAlignment="1">
      <alignment horizontal="center" vertical="center" wrapText="1"/>
    </xf>
    <xf numFmtId="0" fontId="104" fillId="39" borderId="27" xfId="0" applyFont="1" applyFill="1" applyBorder="1" applyAlignment="1">
      <alignment horizontal="center" vertical="center" wrapText="1"/>
    </xf>
    <xf numFmtId="0" fontId="104" fillId="39" borderId="96" xfId="0" applyFont="1" applyFill="1" applyBorder="1" applyAlignment="1">
      <alignment horizontal="center" vertical="center" wrapText="1"/>
    </xf>
    <xf numFmtId="0" fontId="16" fillId="39" borderId="25" xfId="0" applyFont="1" applyFill="1" applyBorder="1" applyAlignment="1" applyProtection="1">
      <alignment horizontal="center" vertical="center" wrapText="1"/>
      <protection locked="0"/>
    </xf>
    <xf numFmtId="0" fontId="16" fillId="39" borderId="32" xfId="0" applyFont="1" applyFill="1" applyBorder="1" applyAlignment="1" applyProtection="1">
      <alignment horizontal="center" vertical="center" wrapText="1"/>
      <protection locked="0"/>
    </xf>
    <xf numFmtId="0" fontId="16" fillId="39" borderId="45" xfId="0" applyFont="1" applyFill="1" applyBorder="1" applyAlignment="1" applyProtection="1">
      <alignment horizontal="center" vertical="center" wrapText="1"/>
      <protection locked="0"/>
    </xf>
    <xf numFmtId="0" fontId="16" fillId="39" borderId="20" xfId="0" applyFont="1" applyFill="1" applyBorder="1" applyAlignment="1" applyProtection="1">
      <alignment horizontal="center" vertical="center" wrapText="1"/>
      <protection locked="0"/>
    </xf>
    <xf numFmtId="0" fontId="16" fillId="39" borderId="18" xfId="0" applyFont="1" applyFill="1" applyBorder="1" applyAlignment="1" applyProtection="1">
      <alignment horizontal="center" vertical="center" wrapText="1"/>
      <protection locked="0"/>
    </xf>
    <xf numFmtId="0" fontId="16" fillId="39" borderId="42" xfId="0" applyFont="1" applyFill="1" applyBorder="1" applyAlignment="1" applyProtection="1">
      <alignment horizontal="center" vertical="center" wrapText="1"/>
      <protection locked="0"/>
    </xf>
    <xf numFmtId="0" fontId="16" fillId="39" borderId="44" xfId="0" applyFont="1" applyFill="1" applyBorder="1" applyAlignment="1" applyProtection="1">
      <alignment horizontal="center" vertical="center" wrapText="1"/>
      <protection locked="0"/>
    </xf>
    <xf numFmtId="0" fontId="16" fillId="39" borderId="35" xfId="0" applyFont="1" applyFill="1" applyBorder="1" applyAlignment="1" applyProtection="1">
      <alignment horizontal="center" vertical="center" wrapText="1"/>
      <protection locked="0"/>
    </xf>
    <xf numFmtId="0" fontId="16" fillId="39" borderId="28" xfId="0" applyFont="1" applyFill="1" applyBorder="1" applyAlignment="1" applyProtection="1">
      <alignment horizontal="center" vertical="center" wrapText="1"/>
      <protection locked="0"/>
    </xf>
    <xf numFmtId="0" fontId="16" fillId="39" borderId="20" xfId="0" applyFont="1" applyFill="1" applyBorder="1" applyAlignment="1" applyProtection="1">
      <alignment horizontal="center" wrapText="1"/>
      <protection locked="0"/>
    </xf>
    <xf numFmtId="0" fontId="16" fillId="39" borderId="33" xfId="0" applyFont="1" applyFill="1" applyBorder="1" applyAlignment="1" applyProtection="1">
      <alignment horizontal="center" wrapText="1"/>
      <protection locked="0"/>
    </xf>
    <xf numFmtId="0" fontId="16" fillId="39" borderId="18" xfId="0" applyFont="1" applyFill="1" applyBorder="1" applyAlignment="1" applyProtection="1">
      <alignment horizontal="center" wrapText="1"/>
      <protection locked="0"/>
    </xf>
    <xf numFmtId="0" fontId="16" fillId="39" borderId="35" xfId="0" applyFont="1" applyFill="1" applyBorder="1" applyAlignment="1" applyProtection="1">
      <alignment horizontal="center" wrapText="1"/>
      <protection locked="0"/>
    </xf>
    <xf numFmtId="0" fontId="16" fillId="39" borderId="30" xfId="0" applyFont="1" applyFill="1" applyBorder="1" applyAlignment="1" applyProtection="1">
      <alignment horizontal="center" wrapText="1"/>
      <protection locked="0"/>
    </xf>
    <xf numFmtId="0" fontId="16" fillId="39" borderId="28" xfId="0" applyFont="1" applyFill="1" applyBorder="1" applyAlignment="1" applyProtection="1">
      <alignment horizontal="center" wrapText="1"/>
      <protection locked="0"/>
    </xf>
    <xf numFmtId="0" fontId="16" fillId="39" borderId="31" xfId="0" applyFont="1" applyFill="1" applyBorder="1" applyAlignment="1" applyProtection="1">
      <alignment horizontal="center" vertical="center" wrapText="1"/>
      <protection locked="0"/>
    </xf>
    <xf numFmtId="0" fontId="122" fillId="39" borderId="13" xfId="0" applyFont="1" applyFill="1" applyBorder="1" applyAlignment="1">
      <alignment/>
    </xf>
    <xf numFmtId="172" fontId="16" fillId="39" borderId="98" xfId="42" applyNumberFormat="1" applyFont="1" applyFill="1" applyBorder="1" applyAlignment="1" applyProtection="1">
      <alignment horizontal="center" wrapText="1"/>
      <protection locked="0"/>
    </xf>
    <xf numFmtId="172" fontId="16" fillId="39" borderId="37" xfId="42" applyNumberFormat="1" applyFont="1" applyFill="1" applyBorder="1" applyAlignment="1" applyProtection="1">
      <alignment horizontal="center" wrapText="1"/>
      <protection locked="0"/>
    </xf>
    <xf numFmtId="172" fontId="16" fillId="39" borderId="99" xfId="42" applyNumberFormat="1" applyFont="1" applyFill="1" applyBorder="1" applyAlignment="1" applyProtection="1">
      <alignment horizontal="center" wrapText="1"/>
      <protection locked="0"/>
    </xf>
    <xf numFmtId="172" fontId="16" fillId="39" borderId="42" xfId="42" applyNumberFormat="1" applyFont="1" applyFill="1" applyBorder="1" applyAlignment="1" applyProtection="1">
      <alignment horizontal="center" wrapText="1"/>
      <protection locked="0"/>
    </xf>
    <xf numFmtId="172" fontId="16" fillId="39" borderId="0" xfId="42" applyNumberFormat="1" applyFont="1" applyFill="1" applyBorder="1" applyAlignment="1" applyProtection="1">
      <alignment horizontal="center" wrapText="1"/>
      <protection locked="0"/>
    </xf>
    <xf numFmtId="172" fontId="16" fillId="39" borderId="44" xfId="42" applyNumberFormat="1" applyFont="1" applyFill="1" applyBorder="1" applyAlignment="1" applyProtection="1">
      <alignment horizontal="center" wrapText="1"/>
      <protection locked="0"/>
    </xf>
    <xf numFmtId="172" fontId="16" fillId="39" borderId="20" xfId="42" applyNumberFormat="1" applyFont="1" applyFill="1" applyBorder="1" applyAlignment="1" applyProtection="1">
      <alignment horizontal="center" vertical="center" wrapText="1"/>
      <protection locked="0"/>
    </xf>
    <xf numFmtId="172" fontId="16" fillId="39" borderId="33" xfId="42" applyNumberFormat="1" applyFont="1" applyFill="1" applyBorder="1" applyAlignment="1" applyProtection="1">
      <alignment horizontal="center" vertical="center" wrapText="1"/>
      <protection locked="0"/>
    </xf>
    <xf numFmtId="172" fontId="16" fillId="39" borderId="18" xfId="42" applyNumberFormat="1" applyFont="1" applyFill="1" applyBorder="1" applyAlignment="1" applyProtection="1">
      <alignment horizontal="center" vertical="center" wrapText="1"/>
      <protection locked="0"/>
    </xf>
    <xf numFmtId="172" fontId="16" fillId="39" borderId="35" xfId="42" applyNumberFormat="1" applyFont="1" applyFill="1" applyBorder="1" applyAlignment="1" applyProtection="1">
      <alignment horizontal="center" vertical="center" wrapText="1"/>
      <protection locked="0"/>
    </xf>
    <xf numFmtId="172" fontId="16" fillId="39" borderId="30" xfId="42" applyNumberFormat="1" applyFont="1" applyFill="1" applyBorder="1" applyAlignment="1" applyProtection="1">
      <alignment horizontal="center" vertical="center" wrapText="1"/>
      <protection locked="0"/>
    </xf>
    <xf numFmtId="172" fontId="16" fillId="39" borderId="28" xfId="42" applyNumberFormat="1" applyFont="1" applyFill="1" applyBorder="1" applyAlignment="1" applyProtection="1">
      <alignment horizontal="center" vertical="center" wrapText="1"/>
      <protection locked="0"/>
    </xf>
    <xf numFmtId="172" fontId="16" fillId="39" borderId="19" xfId="42" applyNumberFormat="1" applyFont="1" applyFill="1" applyBorder="1" applyAlignment="1" applyProtection="1">
      <alignment horizontal="center" wrapText="1"/>
      <protection locked="0"/>
    </xf>
    <xf numFmtId="172" fontId="16" fillId="39" borderId="13" xfId="42" applyNumberFormat="1" applyFont="1" applyFill="1" applyBorder="1" applyAlignment="1" applyProtection="1">
      <alignment horizontal="center" wrapText="1"/>
      <protection locked="0"/>
    </xf>
    <xf numFmtId="0" fontId="11" fillId="0" borderId="19" xfId="0" applyFont="1" applyFill="1" applyBorder="1" applyAlignment="1" applyProtection="1">
      <alignment horizontal="left" vertical="top" wrapText="1"/>
      <protection/>
    </xf>
    <xf numFmtId="0" fontId="11" fillId="0" borderId="31" xfId="0" applyFont="1" applyFill="1" applyBorder="1" applyAlignment="1" applyProtection="1">
      <alignment horizontal="left" vertical="top" wrapText="1"/>
      <protection/>
    </xf>
    <xf numFmtId="0" fontId="11" fillId="0" borderId="13" xfId="0" applyFont="1" applyFill="1" applyBorder="1" applyAlignment="1" applyProtection="1">
      <alignment horizontal="left" vertical="top" wrapText="1"/>
      <protection/>
    </xf>
    <xf numFmtId="172" fontId="5" fillId="0" borderId="25" xfId="44" applyNumberFormat="1" applyFont="1" applyFill="1" applyBorder="1" applyAlignment="1" applyProtection="1">
      <alignment horizontal="center" vertical="center"/>
      <protection locked="0"/>
    </xf>
    <xf numFmtId="172" fontId="5" fillId="0" borderId="45" xfId="44" applyNumberFormat="1" applyFont="1" applyFill="1" applyBorder="1" applyAlignment="1" applyProtection="1">
      <alignment horizontal="center" vertical="center"/>
      <protection locked="0"/>
    </xf>
    <xf numFmtId="172" fontId="5" fillId="0" borderId="100" xfId="44" applyNumberFormat="1" applyFont="1" applyFill="1" applyBorder="1" applyAlignment="1" applyProtection="1">
      <alignment horizontal="center" vertical="center"/>
      <protection locked="0"/>
    </xf>
    <xf numFmtId="172" fontId="5" fillId="0" borderId="32" xfId="44" applyNumberFormat="1" applyFont="1" applyFill="1" applyBorder="1" applyAlignment="1" applyProtection="1">
      <alignment horizontal="center" vertical="center"/>
      <protection locked="0"/>
    </xf>
    <xf numFmtId="172" fontId="5" fillId="0" borderId="101" xfId="44" applyNumberFormat="1" applyFont="1" applyFill="1" applyBorder="1" applyAlignment="1" applyProtection="1">
      <alignment horizontal="center" vertical="center"/>
      <protection locked="0"/>
    </xf>
    <xf numFmtId="0" fontId="3" fillId="0" borderId="26" xfId="0" applyFont="1" applyFill="1" applyBorder="1" applyAlignment="1" applyProtection="1">
      <alignment horizontal="center" vertical="top" wrapText="1"/>
      <protection/>
    </xf>
    <xf numFmtId="0" fontId="3" fillId="0" borderId="13" xfId="0" applyFont="1" applyFill="1" applyBorder="1" applyAlignment="1" applyProtection="1">
      <alignment horizontal="center" vertical="top" wrapText="1"/>
      <protection/>
    </xf>
    <xf numFmtId="0" fontId="3" fillId="0" borderId="31" xfId="0" applyFont="1" applyFill="1" applyBorder="1" applyAlignment="1" applyProtection="1">
      <alignment horizontal="center" vertical="top" wrapText="1"/>
      <protection/>
    </xf>
    <xf numFmtId="0" fontId="5" fillId="0" borderId="26" xfId="0" applyFont="1" applyFill="1" applyBorder="1" applyAlignment="1" applyProtection="1">
      <alignment horizontal="center" vertical="center" wrapText="1"/>
      <protection/>
    </xf>
    <xf numFmtId="0" fontId="5" fillId="0" borderId="31" xfId="0" applyFont="1" applyFill="1" applyBorder="1" applyAlignment="1" applyProtection="1">
      <alignment horizontal="center" vertical="center" wrapText="1"/>
      <protection/>
    </xf>
    <xf numFmtId="0" fontId="5" fillId="0" borderId="13" xfId="0" applyFont="1" applyFill="1" applyBorder="1" applyAlignment="1" applyProtection="1">
      <alignment horizontal="center" vertical="center" wrapText="1"/>
      <protection/>
    </xf>
    <xf numFmtId="0" fontId="3" fillId="0" borderId="26" xfId="0" applyFont="1" applyFill="1" applyBorder="1" applyAlignment="1" applyProtection="1">
      <alignment horizontal="left" vertical="top" wrapText="1"/>
      <protection/>
    </xf>
    <xf numFmtId="0" fontId="3" fillId="0" borderId="31" xfId="0" applyFont="1" applyFill="1" applyBorder="1" applyAlignment="1" applyProtection="1">
      <alignment horizontal="left" vertical="top" wrapText="1"/>
      <protection/>
    </xf>
    <xf numFmtId="0" fontId="3" fillId="0" borderId="13" xfId="0" applyFont="1" applyFill="1" applyBorder="1" applyAlignment="1" applyProtection="1">
      <alignment horizontal="left" vertical="top" wrapText="1"/>
      <protection/>
    </xf>
    <xf numFmtId="172" fontId="5" fillId="0" borderId="26" xfId="44" applyNumberFormat="1" applyFont="1" applyFill="1" applyBorder="1" applyAlignment="1" applyProtection="1">
      <alignment horizontal="center" vertical="center"/>
      <protection locked="0"/>
    </xf>
    <xf numFmtId="172" fontId="5" fillId="0" borderId="31" xfId="44" applyNumberFormat="1" applyFont="1" applyFill="1" applyBorder="1" applyAlignment="1" applyProtection="1">
      <alignment horizontal="center" vertical="center"/>
      <protection locked="0"/>
    </xf>
    <xf numFmtId="172" fontId="5" fillId="0" borderId="36" xfId="44" applyNumberFormat="1" applyFont="1" applyFill="1" applyBorder="1" applyAlignment="1" applyProtection="1">
      <alignment horizontal="center" vertical="center"/>
      <protection locked="0"/>
    </xf>
    <xf numFmtId="0" fontId="5" fillId="0" borderId="10" xfId="0" applyFont="1" applyFill="1" applyBorder="1" applyAlignment="1" applyProtection="1">
      <alignment horizontal="center" vertical="center" wrapText="1"/>
      <protection/>
    </xf>
    <xf numFmtId="0" fontId="3" fillId="0" borderId="26" xfId="0" applyFont="1" applyFill="1" applyBorder="1" applyAlignment="1" applyProtection="1">
      <alignment horizontal="left" vertical="center" wrapText="1"/>
      <protection/>
    </xf>
    <xf numFmtId="0" fontId="3" fillId="0" borderId="31" xfId="0" applyFont="1" applyFill="1" applyBorder="1" applyAlignment="1" applyProtection="1">
      <alignment horizontal="left" vertical="center" wrapText="1"/>
      <protection/>
    </xf>
    <xf numFmtId="0" fontId="3" fillId="0" borderId="36" xfId="0" applyFont="1" applyFill="1" applyBorder="1" applyAlignment="1" applyProtection="1">
      <alignment horizontal="left" vertical="center" wrapText="1"/>
      <protection/>
    </xf>
    <xf numFmtId="0" fontId="3" fillId="0" borderId="10" xfId="0" applyFont="1" applyFill="1" applyBorder="1" applyAlignment="1" applyProtection="1">
      <alignment horizontal="center" vertical="top" wrapText="1"/>
      <protection/>
    </xf>
    <xf numFmtId="0" fontId="3" fillId="0" borderId="10" xfId="0" applyFont="1" applyFill="1" applyBorder="1" applyAlignment="1" applyProtection="1">
      <alignment horizontal="left" vertical="top" wrapText="1"/>
      <protection/>
    </xf>
    <xf numFmtId="0" fontId="3" fillId="0" borderId="19" xfId="0" applyFont="1" applyFill="1" applyBorder="1" applyAlignment="1" applyProtection="1">
      <alignment horizontal="left" vertical="top" wrapText="1"/>
      <protection/>
    </xf>
    <xf numFmtId="0" fontId="3" fillId="0" borderId="36" xfId="0" applyFont="1" applyFill="1" applyBorder="1" applyAlignment="1" applyProtection="1">
      <alignment horizontal="left" vertical="top" wrapText="1"/>
      <protection/>
    </xf>
    <xf numFmtId="0" fontId="3" fillId="0" borderId="100" xfId="0" applyFont="1" applyFill="1" applyBorder="1" applyAlignment="1" applyProtection="1">
      <alignment horizontal="center" vertical="center" wrapText="1"/>
      <protection/>
    </xf>
    <xf numFmtId="0" fontId="3" fillId="0" borderId="32" xfId="0" applyFont="1" applyFill="1" applyBorder="1" applyAlignment="1" applyProtection="1">
      <alignment horizontal="center" vertical="center" wrapText="1"/>
      <protection/>
    </xf>
    <xf numFmtId="0" fontId="3" fillId="0" borderId="45"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3" fillId="0" borderId="31" xfId="0" applyFont="1" applyFill="1" applyBorder="1" applyAlignment="1" applyProtection="1">
      <alignment horizontal="center" vertical="center" wrapText="1"/>
      <protection/>
    </xf>
    <xf numFmtId="0" fontId="3" fillId="0" borderId="13" xfId="0" applyFont="1" applyFill="1" applyBorder="1" applyAlignment="1" applyProtection="1">
      <alignment horizontal="center" vertical="center" wrapText="1"/>
      <protection/>
    </xf>
    <xf numFmtId="0" fontId="5" fillId="0" borderId="26" xfId="58" applyFont="1" applyFill="1" applyBorder="1" applyAlignment="1" applyProtection="1">
      <alignment horizontal="center" vertical="center" wrapText="1"/>
      <protection/>
    </xf>
    <xf numFmtId="0" fontId="5" fillId="0" borderId="31" xfId="58" applyFont="1" applyFill="1" applyBorder="1" applyAlignment="1" applyProtection="1">
      <alignment horizontal="center" vertical="center" wrapText="1"/>
      <protection/>
    </xf>
    <xf numFmtId="0" fontId="5" fillId="0" borderId="36" xfId="58" applyFont="1" applyFill="1" applyBorder="1" applyAlignment="1" applyProtection="1">
      <alignment horizontal="center" vertical="center" wrapText="1"/>
      <protection/>
    </xf>
    <xf numFmtId="0" fontId="5" fillId="0" borderId="10" xfId="58" applyFont="1" applyFill="1" applyBorder="1" applyAlignment="1" applyProtection="1">
      <alignment horizontal="center" vertical="center" wrapText="1"/>
      <protection/>
    </xf>
    <xf numFmtId="0" fontId="5" fillId="0" borderId="11" xfId="58" applyFont="1" applyFill="1" applyBorder="1" applyAlignment="1" applyProtection="1">
      <alignment horizontal="center" vertical="center" wrapText="1"/>
      <protection/>
    </xf>
    <xf numFmtId="0" fontId="3" fillId="0" borderId="99" xfId="0" applyFont="1" applyFill="1" applyBorder="1" applyAlignment="1" applyProtection="1">
      <alignment horizontal="center" vertical="top" wrapText="1"/>
      <protection/>
    </xf>
    <xf numFmtId="0" fontId="3" fillId="0" borderId="44" xfId="0" applyFont="1" applyFill="1" applyBorder="1" applyAlignment="1" applyProtection="1">
      <alignment horizontal="center" vertical="top" wrapText="1"/>
      <protection/>
    </xf>
    <xf numFmtId="0" fontId="3" fillId="0" borderId="10" xfId="0" applyFont="1" applyFill="1" applyBorder="1" applyAlignment="1" applyProtection="1">
      <alignment horizontal="center" vertical="center" wrapText="1"/>
      <protection/>
    </xf>
    <xf numFmtId="0" fontId="3" fillId="0" borderId="101" xfId="0" applyFont="1" applyFill="1" applyBorder="1" applyAlignment="1" applyProtection="1">
      <alignment horizontal="center" vertical="center" wrapText="1"/>
      <protection/>
    </xf>
    <xf numFmtId="172" fontId="5" fillId="34" borderId="26" xfId="44" applyNumberFormat="1" applyFont="1" applyFill="1" applyBorder="1" applyAlignment="1" applyProtection="1">
      <alignment horizontal="center" wrapText="1"/>
      <protection locked="0"/>
    </xf>
    <xf numFmtId="172" fontId="5" fillId="34" borderId="31" xfId="44" applyNumberFormat="1" applyFont="1" applyFill="1" applyBorder="1" applyAlignment="1" applyProtection="1">
      <alignment horizontal="center" wrapText="1"/>
      <protection locked="0"/>
    </xf>
    <xf numFmtId="172" fontId="5" fillId="34" borderId="13" xfId="44" applyNumberFormat="1" applyFont="1" applyFill="1" applyBorder="1" applyAlignment="1" applyProtection="1">
      <alignment horizontal="center" wrapText="1"/>
      <protection locked="0"/>
    </xf>
    <xf numFmtId="172" fontId="5" fillId="39" borderId="34" xfId="44" applyNumberFormat="1" applyFont="1" applyFill="1" applyBorder="1" applyAlignment="1" applyProtection="1">
      <alignment horizontal="center" wrapText="1"/>
      <protection locked="0"/>
    </xf>
    <xf numFmtId="172" fontId="5" fillId="39" borderId="38" xfId="44" applyNumberFormat="1" applyFont="1" applyFill="1" applyBorder="1" applyAlignment="1" applyProtection="1">
      <alignment horizontal="center" wrapText="1"/>
      <protection locked="0"/>
    </xf>
    <xf numFmtId="172" fontId="5" fillId="39" borderId="12" xfId="44" applyNumberFormat="1" applyFont="1" applyFill="1" applyBorder="1" applyAlignment="1" applyProtection="1">
      <alignment horizontal="center" wrapText="1"/>
      <protection locked="0"/>
    </xf>
    <xf numFmtId="172" fontId="5" fillId="39" borderId="20" xfId="44" applyNumberFormat="1" applyFont="1" applyFill="1" applyBorder="1" applyAlignment="1" applyProtection="1">
      <alignment horizontal="center" vertical="center" wrapText="1"/>
      <protection locked="0"/>
    </xf>
    <xf numFmtId="172" fontId="5" fillId="39" borderId="33" xfId="44" applyNumberFormat="1" applyFont="1" applyFill="1" applyBorder="1" applyAlignment="1" applyProtection="1">
      <alignment horizontal="center" vertical="center" wrapText="1"/>
      <protection locked="0"/>
    </xf>
    <xf numFmtId="172" fontId="5" fillId="39" borderId="18" xfId="44" applyNumberFormat="1" applyFont="1" applyFill="1" applyBorder="1" applyAlignment="1" applyProtection="1">
      <alignment horizontal="center" vertical="center" wrapText="1"/>
      <protection locked="0"/>
    </xf>
    <xf numFmtId="172" fontId="5" fillId="39" borderId="35" xfId="44" applyNumberFormat="1" applyFont="1" applyFill="1" applyBorder="1" applyAlignment="1" applyProtection="1">
      <alignment horizontal="center" vertical="center" wrapText="1"/>
      <protection locked="0"/>
    </xf>
    <xf numFmtId="172" fontId="5" fillId="39" borderId="30" xfId="44" applyNumberFormat="1" applyFont="1" applyFill="1" applyBorder="1" applyAlignment="1" applyProtection="1">
      <alignment horizontal="center" vertical="center" wrapText="1"/>
      <protection locked="0"/>
    </xf>
    <xf numFmtId="172" fontId="5" fillId="39" borderId="28" xfId="44" applyNumberFormat="1" applyFont="1" applyFill="1" applyBorder="1" applyAlignment="1" applyProtection="1">
      <alignment horizontal="center" vertical="center" wrapText="1"/>
      <protection locked="0"/>
    </xf>
    <xf numFmtId="0" fontId="3" fillId="0" borderId="11" xfId="0" applyFont="1" applyFill="1" applyBorder="1" applyAlignment="1" applyProtection="1">
      <alignment horizontal="center" vertical="center" wrapText="1"/>
      <protection/>
    </xf>
    <xf numFmtId="0" fontId="5" fillId="39" borderId="20" xfId="0" applyFont="1" applyFill="1" applyBorder="1" applyAlignment="1" applyProtection="1">
      <alignment horizontal="center" wrapText="1"/>
      <protection locked="0"/>
    </xf>
    <xf numFmtId="0" fontId="5" fillId="39" borderId="33" xfId="0" applyFont="1" applyFill="1" applyBorder="1" applyAlignment="1" applyProtection="1">
      <alignment horizontal="center" wrapText="1"/>
      <protection locked="0"/>
    </xf>
    <xf numFmtId="0" fontId="5" fillId="39" borderId="18" xfId="0" applyFont="1" applyFill="1" applyBorder="1" applyAlignment="1" applyProtection="1">
      <alignment horizontal="center" wrapText="1"/>
      <protection locked="0"/>
    </xf>
    <xf numFmtId="0" fontId="5" fillId="39" borderId="42" xfId="0" applyFont="1" applyFill="1" applyBorder="1" applyAlignment="1" applyProtection="1">
      <alignment horizontal="center" wrapText="1"/>
      <protection locked="0"/>
    </xf>
    <xf numFmtId="0" fontId="5" fillId="39" borderId="0" xfId="0" applyFont="1" applyFill="1" applyBorder="1" applyAlignment="1" applyProtection="1">
      <alignment horizontal="center" wrapText="1"/>
      <protection locked="0"/>
    </xf>
    <xf numFmtId="0" fontId="5" fillId="39" borderId="44" xfId="0" applyFont="1" applyFill="1" applyBorder="1" applyAlignment="1" applyProtection="1">
      <alignment horizontal="center" wrapText="1"/>
      <protection locked="0"/>
    </xf>
    <xf numFmtId="172" fontId="5" fillId="39" borderId="19" xfId="44" applyNumberFormat="1" applyFont="1" applyFill="1" applyBorder="1" applyAlignment="1" applyProtection="1">
      <alignment horizontal="center" wrapText="1"/>
      <protection locked="0"/>
    </xf>
    <xf numFmtId="172" fontId="5" fillId="39" borderId="13" xfId="44" applyNumberFormat="1" applyFont="1" applyFill="1" applyBorder="1" applyAlignment="1" applyProtection="1">
      <alignment horizontal="center" wrapText="1"/>
      <protection locked="0"/>
    </xf>
    <xf numFmtId="172" fontId="5" fillId="39" borderId="98" xfId="44" applyNumberFormat="1" applyFont="1" applyFill="1" applyBorder="1" applyAlignment="1" applyProtection="1">
      <alignment horizontal="center" wrapText="1"/>
      <protection locked="0"/>
    </xf>
    <xf numFmtId="172" fontId="5" fillId="39" borderId="37" xfId="44" applyNumberFormat="1" applyFont="1" applyFill="1" applyBorder="1" applyAlignment="1" applyProtection="1">
      <alignment horizontal="center" wrapText="1"/>
      <protection locked="0"/>
    </xf>
    <xf numFmtId="172" fontId="5" fillId="39" borderId="99" xfId="44" applyNumberFormat="1" applyFont="1" applyFill="1" applyBorder="1" applyAlignment="1" applyProtection="1">
      <alignment horizontal="center" wrapText="1"/>
      <protection locked="0"/>
    </xf>
    <xf numFmtId="172" fontId="5" fillId="39" borderId="35" xfId="44" applyNumberFormat="1" applyFont="1" applyFill="1" applyBorder="1" applyAlignment="1" applyProtection="1">
      <alignment horizontal="center" wrapText="1"/>
      <protection locked="0"/>
    </xf>
    <xf numFmtId="172" fontId="5" fillId="39" borderId="30" xfId="44" applyNumberFormat="1" applyFont="1" applyFill="1" applyBorder="1" applyAlignment="1" applyProtection="1">
      <alignment horizontal="center" wrapText="1"/>
      <protection locked="0"/>
    </xf>
    <xf numFmtId="172" fontId="5" fillId="39" borderId="28" xfId="44" applyNumberFormat="1" applyFont="1" applyFill="1" applyBorder="1" applyAlignment="1" applyProtection="1">
      <alignment horizontal="center" wrapText="1"/>
      <protection locked="0"/>
    </xf>
    <xf numFmtId="0" fontId="5" fillId="39" borderId="19" xfId="0" applyFont="1" applyFill="1" applyBorder="1" applyAlignment="1" applyProtection="1">
      <alignment horizontal="center" vertical="center" wrapText="1"/>
      <protection locked="0"/>
    </xf>
    <xf numFmtId="0" fontId="5" fillId="39" borderId="31" xfId="0" applyFont="1" applyFill="1" applyBorder="1" applyAlignment="1" applyProtection="1">
      <alignment horizontal="center" vertical="center" wrapText="1"/>
      <protection locked="0"/>
    </xf>
    <xf numFmtId="0" fontId="5" fillId="39" borderId="13" xfId="0" applyFont="1" applyFill="1" applyBorder="1" applyAlignment="1" applyProtection="1">
      <alignment horizontal="center" vertical="center" wrapText="1"/>
      <protection locked="0"/>
    </xf>
    <xf numFmtId="0" fontId="5" fillId="39" borderId="20" xfId="0" applyFont="1" applyFill="1" applyBorder="1" applyAlignment="1" applyProtection="1">
      <alignment horizontal="center" vertical="center" wrapText="1"/>
      <protection locked="0"/>
    </xf>
    <xf numFmtId="0" fontId="5" fillId="39" borderId="18" xfId="0" applyFont="1" applyFill="1" applyBorder="1" applyAlignment="1" applyProtection="1">
      <alignment horizontal="center" vertical="center" wrapText="1"/>
      <protection locked="0"/>
    </xf>
    <xf numFmtId="0" fontId="5" fillId="39" borderId="42" xfId="0" applyFont="1" applyFill="1" applyBorder="1" applyAlignment="1" applyProtection="1">
      <alignment horizontal="center" vertical="center" wrapText="1"/>
      <protection locked="0"/>
    </xf>
    <xf numFmtId="0" fontId="5" fillId="39" borderId="44" xfId="0" applyFont="1" applyFill="1" applyBorder="1" applyAlignment="1" applyProtection="1">
      <alignment horizontal="center" vertical="center" wrapText="1"/>
      <protection locked="0"/>
    </xf>
    <xf numFmtId="0" fontId="5" fillId="39" borderId="35" xfId="0" applyFont="1" applyFill="1" applyBorder="1" applyAlignment="1" applyProtection="1">
      <alignment horizontal="center" vertical="center" wrapText="1"/>
      <protection locked="0"/>
    </xf>
    <xf numFmtId="0" fontId="5" fillId="39" borderId="28" xfId="0" applyFont="1" applyFill="1" applyBorder="1" applyAlignment="1" applyProtection="1">
      <alignment horizontal="center" vertical="center" wrapText="1"/>
      <protection locked="0"/>
    </xf>
    <xf numFmtId="172" fontId="5" fillId="8" borderId="102" xfId="44" applyNumberFormat="1" applyFont="1" applyFill="1" applyBorder="1" applyAlignment="1" applyProtection="1">
      <alignment horizontal="center" wrapText="1"/>
      <protection locked="0"/>
    </xf>
    <xf numFmtId="172" fontId="5" fillId="8" borderId="37" xfId="44" applyNumberFormat="1" applyFont="1" applyFill="1" applyBorder="1" applyAlignment="1" applyProtection="1">
      <alignment horizontal="center" wrapText="1"/>
      <protection locked="0"/>
    </xf>
    <xf numFmtId="172" fontId="5" fillId="8" borderId="103" xfId="44" applyNumberFormat="1" applyFont="1" applyFill="1" applyBorder="1" applyAlignment="1" applyProtection="1">
      <alignment horizontal="center" wrapText="1"/>
      <protection locked="0"/>
    </xf>
    <xf numFmtId="172" fontId="5" fillId="8" borderId="104" xfId="44" applyNumberFormat="1" applyFont="1" applyFill="1" applyBorder="1" applyAlignment="1" applyProtection="1">
      <alignment horizontal="center" wrapText="1"/>
      <protection locked="0"/>
    </xf>
    <xf numFmtId="172" fontId="5" fillId="8" borderId="0" xfId="44" applyNumberFormat="1" applyFont="1" applyFill="1" applyBorder="1" applyAlignment="1" applyProtection="1">
      <alignment horizontal="center" wrapText="1"/>
      <protection locked="0"/>
    </xf>
    <xf numFmtId="172" fontId="5" fillId="8" borderId="105" xfId="44" applyNumberFormat="1" applyFont="1" applyFill="1" applyBorder="1" applyAlignment="1" applyProtection="1">
      <alignment horizontal="center" wrapText="1"/>
      <protection locked="0"/>
    </xf>
    <xf numFmtId="172" fontId="5" fillId="8" borderId="40" xfId="44" applyNumberFormat="1" applyFont="1" applyFill="1" applyBorder="1" applyAlignment="1" applyProtection="1">
      <alignment horizontal="center" wrapText="1"/>
      <protection locked="0"/>
    </xf>
    <xf numFmtId="172" fontId="5" fillId="8" borderId="30" xfId="44" applyNumberFormat="1" applyFont="1" applyFill="1" applyBorder="1" applyAlignment="1" applyProtection="1">
      <alignment horizontal="center" wrapText="1"/>
      <protection locked="0"/>
    </xf>
    <xf numFmtId="172" fontId="5" fillId="8" borderId="41" xfId="44" applyNumberFormat="1" applyFont="1" applyFill="1" applyBorder="1" applyAlignment="1" applyProtection="1">
      <alignment horizontal="center" wrapText="1"/>
      <protection locked="0"/>
    </xf>
    <xf numFmtId="172" fontId="5" fillId="34" borderId="106" xfId="44" applyNumberFormat="1" applyFont="1" applyFill="1" applyBorder="1" applyAlignment="1" applyProtection="1">
      <alignment horizontal="center" vertical="center"/>
      <protection locked="0"/>
    </xf>
    <xf numFmtId="172" fontId="5" fillId="34" borderId="107" xfId="44" applyNumberFormat="1" applyFont="1" applyFill="1" applyBorder="1" applyAlignment="1" applyProtection="1">
      <alignment horizontal="center" vertical="center"/>
      <protection locked="0"/>
    </xf>
    <xf numFmtId="172" fontId="5" fillId="34" borderId="108" xfId="44" applyNumberFormat="1" applyFont="1" applyFill="1" applyBorder="1" applyAlignment="1" applyProtection="1">
      <alignment horizontal="center" vertical="center"/>
      <protection locked="0"/>
    </xf>
    <xf numFmtId="0" fontId="5" fillId="39" borderId="35" xfId="0" applyFont="1" applyFill="1" applyBorder="1" applyAlignment="1" applyProtection="1">
      <alignment horizontal="center" wrapText="1"/>
      <protection locked="0"/>
    </xf>
    <xf numFmtId="0" fontId="5" fillId="39" borderId="30" xfId="0" applyFont="1" applyFill="1" applyBorder="1" applyAlignment="1" applyProtection="1">
      <alignment horizontal="center" wrapText="1"/>
      <protection locked="0"/>
    </xf>
    <xf numFmtId="0" fontId="5" fillId="39" borderId="28" xfId="0" applyFont="1" applyFill="1" applyBorder="1" applyAlignment="1" applyProtection="1">
      <alignment horizontal="center" wrapText="1"/>
      <protection locked="0"/>
    </xf>
    <xf numFmtId="172" fontId="100" fillId="34" borderId="106" xfId="44" applyNumberFormat="1" applyFont="1" applyFill="1" applyBorder="1" applyAlignment="1" applyProtection="1">
      <alignment horizontal="center" vertical="center"/>
      <protection locked="0"/>
    </xf>
    <xf numFmtId="172" fontId="100" fillId="34" borderId="107" xfId="44" applyNumberFormat="1" applyFont="1" applyFill="1" applyBorder="1" applyAlignment="1" applyProtection="1">
      <alignment horizontal="center" vertical="center"/>
      <protection locked="0"/>
    </xf>
    <xf numFmtId="172" fontId="100" fillId="34" borderId="108" xfId="44" applyNumberFormat="1" applyFont="1" applyFill="1" applyBorder="1" applyAlignment="1" applyProtection="1">
      <alignment horizontal="center" vertical="center"/>
      <protection locked="0"/>
    </xf>
    <xf numFmtId="172" fontId="5" fillId="8" borderId="14" xfId="44" applyNumberFormat="1" applyFont="1" applyFill="1" applyBorder="1" applyAlignment="1" applyProtection="1">
      <alignment horizontal="center" wrapText="1"/>
      <protection locked="0"/>
    </xf>
    <xf numFmtId="172" fontId="5" fillId="8" borderId="22" xfId="44" applyNumberFormat="1" applyFont="1" applyFill="1" applyBorder="1" applyAlignment="1" applyProtection="1">
      <alignment horizontal="center" wrapText="1"/>
      <protection locked="0"/>
    </xf>
    <xf numFmtId="172" fontId="5" fillId="8" borderId="10" xfId="44" applyNumberFormat="1" applyFont="1" applyFill="1" applyBorder="1" applyAlignment="1" applyProtection="1">
      <alignment horizontal="center" wrapText="1"/>
      <protection locked="0"/>
    </xf>
    <xf numFmtId="172" fontId="5" fillId="8" borderId="21" xfId="44" applyNumberFormat="1" applyFont="1" applyFill="1" applyBorder="1" applyAlignment="1" applyProtection="1">
      <alignment horizontal="center" wrapText="1"/>
      <protection locked="0"/>
    </xf>
    <xf numFmtId="0" fontId="5" fillId="33" borderId="24" xfId="0" applyFont="1" applyFill="1" applyBorder="1" applyAlignment="1">
      <alignment horizontal="center" wrapText="1"/>
    </xf>
    <xf numFmtId="0" fontId="5" fillId="39" borderId="97" xfId="0" applyFont="1" applyFill="1" applyBorder="1" applyAlignment="1" applyProtection="1">
      <alignment horizontal="center" vertical="center" wrapText="1"/>
      <protection locked="0"/>
    </xf>
    <xf numFmtId="0" fontId="5" fillId="39" borderId="46" xfId="0" applyFont="1" applyFill="1" applyBorder="1" applyAlignment="1" applyProtection="1">
      <alignment horizontal="center" vertical="center" wrapText="1"/>
      <protection locked="0"/>
    </xf>
    <xf numFmtId="0" fontId="5" fillId="39" borderId="27" xfId="0" applyFont="1" applyFill="1" applyBorder="1" applyAlignment="1" applyProtection="1">
      <alignment horizontal="center" vertical="center" wrapText="1"/>
      <protection locked="0"/>
    </xf>
    <xf numFmtId="0" fontId="7" fillId="39" borderId="96" xfId="0" applyFont="1" applyFill="1" applyBorder="1" applyAlignment="1">
      <alignment horizontal="center" vertical="center" wrapText="1"/>
    </xf>
    <xf numFmtId="0" fontId="99" fillId="39" borderId="46" xfId="0" applyFont="1" applyFill="1" applyBorder="1" applyAlignment="1">
      <alignment horizontal="center" vertical="center" wrapText="1"/>
    </xf>
    <xf numFmtId="0" fontId="99" fillId="39" borderId="27" xfId="0" applyFont="1" applyFill="1" applyBorder="1" applyAlignment="1">
      <alignment horizontal="center" vertical="center" wrapText="1"/>
    </xf>
    <xf numFmtId="0" fontId="99" fillId="39" borderId="96" xfId="0" applyFont="1" applyFill="1" applyBorder="1" applyAlignment="1">
      <alignment horizontal="center" vertical="center" wrapText="1"/>
    </xf>
    <xf numFmtId="0" fontId="5" fillId="39" borderId="25" xfId="0" applyFont="1" applyFill="1" applyBorder="1" applyAlignment="1" applyProtection="1">
      <alignment horizontal="center" vertical="center" wrapText="1"/>
      <protection locked="0"/>
    </xf>
    <xf numFmtId="0" fontId="5" fillId="39" borderId="32" xfId="0" applyFont="1" applyFill="1" applyBorder="1" applyAlignment="1" applyProtection="1">
      <alignment horizontal="center" vertical="center" wrapText="1"/>
      <protection locked="0"/>
    </xf>
    <xf numFmtId="0" fontId="5" fillId="39" borderId="45" xfId="0" applyFont="1" applyFill="1" applyBorder="1" applyAlignment="1" applyProtection="1">
      <alignment horizontal="center" vertical="center" wrapText="1"/>
      <protection locked="0"/>
    </xf>
    <xf numFmtId="0" fontId="3" fillId="0" borderId="10" xfId="0" applyFont="1" applyFill="1" applyBorder="1" applyAlignment="1" applyProtection="1">
      <alignment horizontal="left" vertical="center" wrapText="1"/>
      <protection/>
    </xf>
    <xf numFmtId="0" fontId="5" fillId="9" borderId="10" xfId="0" applyFont="1" applyFill="1" applyBorder="1" applyAlignment="1" applyProtection="1">
      <alignment horizontal="center" vertical="center" wrapText="1"/>
      <protection/>
    </xf>
    <xf numFmtId="0" fontId="3" fillId="0" borderId="19" xfId="0" applyFont="1" applyFill="1" applyBorder="1" applyAlignment="1" applyProtection="1">
      <alignment horizontal="left" vertical="center" wrapText="1"/>
      <protection/>
    </xf>
    <xf numFmtId="0" fontId="3" fillId="0" borderId="13" xfId="0" applyFont="1" applyFill="1" applyBorder="1" applyAlignment="1" applyProtection="1">
      <alignment horizontal="left" vertical="center" wrapText="1"/>
      <protection/>
    </xf>
    <xf numFmtId="0" fontId="5" fillId="8" borderId="34" xfId="0" applyFont="1" applyFill="1" applyBorder="1" applyAlignment="1" applyProtection="1">
      <alignment horizontal="left" vertical="center" wrapText="1"/>
      <protection locked="0"/>
    </xf>
    <xf numFmtId="0" fontId="5" fillId="8" borderId="38" xfId="0" applyFont="1" applyFill="1" applyBorder="1" applyAlignment="1" applyProtection="1">
      <alignment horizontal="left" vertical="center" wrapText="1"/>
      <protection locked="0"/>
    </xf>
    <xf numFmtId="0" fontId="5" fillId="8" borderId="12" xfId="0" applyFont="1" applyFill="1" applyBorder="1" applyAlignment="1" applyProtection="1">
      <alignment horizontal="left" vertical="center" wrapText="1"/>
      <protection locked="0"/>
    </xf>
    <xf numFmtId="0" fontId="5" fillId="33" borderId="10" xfId="0" applyFont="1" applyFill="1" applyBorder="1" applyAlignment="1" applyProtection="1">
      <alignment horizontal="center" vertical="center" wrapText="1"/>
      <protection locked="0"/>
    </xf>
    <xf numFmtId="172" fontId="5" fillId="39" borderId="10" xfId="44" applyNumberFormat="1" applyFont="1" applyFill="1" applyBorder="1" applyAlignment="1" applyProtection="1">
      <alignment horizontal="center" vertical="center" wrapText="1"/>
      <protection locked="0"/>
    </xf>
    <xf numFmtId="0" fontId="5" fillId="39" borderId="33" xfId="0" applyFont="1" applyFill="1" applyBorder="1" applyAlignment="1" applyProtection="1">
      <alignment horizontal="center" vertical="center" wrapText="1"/>
      <protection locked="0"/>
    </xf>
    <xf numFmtId="0" fontId="5" fillId="39" borderId="30" xfId="0" applyFont="1" applyFill="1" applyBorder="1" applyAlignment="1" applyProtection="1">
      <alignment horizontal="center" vertical="center" wrapText="1"/>
      <protection locked="0"/>
    </xf>
    <xf numFmtId="0" fontId="5" fillId="39" borderId="10" xfId="0" applyFont="1" applyFill="1" applyBorder="1" applyAlignment="1" applyProtection="1">
      <alignment horizontal="center" vertical="center" wrapText="1"/>
      <protection locked="0"/>
    </xf>
    <xf numFmtId="172" fontId="5" fillId="39" borderId="34" xfId="44" applyNumberFormat="1" applyFont="1" applyFill="1" applyBorder="1" applyAlignment="1" applyProtection="1">
      <alignment horizontal="center" vertical="center" wrapText="1"/>
      <protection locked="0"/>
    </xf>
    <xf numFmtId="172" fontId="5" fillId="39" borderId="38" xfId="44" applyNumberFormat="1" applyFont="1" applyFill="1" applyBorder="1" applyAlignment="1" applyProtection="1">
      <alignment horizontal="center" vertical="center" wrapText="1"/>
      <protection locked="0"/>
    </xf>
    <xf numFmtId="172" fontId="5" fillId="39" borderId="12" xfId="44" applyNumberFormat="1" applyFont="1" applyFill="1" applyBorder="1" applyAlignment="1" applyProtection="1">
      <alignment horizontal="center" vertical="center" wrapText="1"/>
      <protection locked="0"/>
    </xf>
    <xf numFmtId="0" fontId="5" fillId="33" borderId="0" xfId="0" applyFont="1" applyFill="1" applyBorder="1" applyAlignment="1">
      <alignment horizontal="center" vertical="center" wrapText="1"/>
    </xf>
    <xf numFmtId="0" fontId="7" fillId="39" borderId="34" xfId="0" applyFont="1" applyFill="1" applyBorder="1" applyAlignment="1">
      <alignment horizontal="center" vertical="center" wrapText="1"/>
    </xf>
    <xf numFmtId="0" fontId="99" fillId="39" borderId="38" xfId="0" applyFont="1" applyFill="1" applyBorder="1" applyAlignment="1">
      <alignment horizontal="center" vertical="center" wrapText="1"/>
    </xf>
    <xf numFmtId="0" fontId="99" fillId="39" borderId="12" xfId="0" applyFont="1" applyFill="1" applyBorder="1" applyAlignment="1">
      <alignment horizontal="center" vertical="center" wrapText="1"/>
    </xf>
    <xf numFmtId="0" fontId="99" fillId="39" borderId="10" xfId="0" applyFont="1" applyFill="1" applyBorder="1" applyAlignment="1">
      <alignment horizontal="center" vertical="center" wrapText="1"/>
    </xf>
    <xf numFmtId="0" fontId="115" fillId="39" borderId="10" xfId="0" applyFont="1" applyFill="1" applyBorder="1" applyAlignment="1">
      <alignment vertical="center"/>
    </xf>
    <xf numFmtId="0" fontId="3" fillId="0" borderId="10" xfId="0" applyFont="1" applyBorder="1" applyAlignment="1">
      <alignment horizontal="left" vertical="center" wrapText="1"/>
    </xf>
    <xf numFmtId="0" fontId="123" fillId="0" borderId="10" xfId="0" applyFont="1" applyFill="1" applyBorder="1" applyAlignment="1" applyProtection="1">
      <alignment horizontal="center" vertical="center" wrapText="1"/>
      <protection/>
    </xf>
    <xf numFmtId="0" fontId="4" fillId="39" borderId="25" xfId="0" applyFont="1" applyFill="1" applyBorder="1" applyAlignment="1" applyProtection="1">
      <alignment horizontal="center" vertical="center" wrapText="1"/>
      <protection locked="0"/>
    </xf>
    <xf numFmtId="0" fontId="4" fillId="39" borderId="32" xfId="0" applyFont="1" applyFill="1" applyBorder="1" applyAlignment="1" applyProtection="1">
      <alignment horizontal="center" vertical="center" wrapText="1"/>
      <protection locked="0"/>
    </xf>
    <xf numFmtId="0" fontId="4" fillId="39" borderId="45" xfId="0" applyFont="1" applyFill="1" applyBorder="1" applyAlignment="1" applyProtection="1">
      <alignment horizontal="center" vertical="center" wrapText="1"/>
      <protection locked="0"/>
    </xf>
    <xf numFmtId="172" fontId="5" fillId="39" borderId="14" xfId="44" applyNumberFormat="1" applyFont="1" applyFill="1" applyBorder="1" applyAlignment="1" applyProtection="1">
      <alignment horizontal="center" wrapText="1"/>
      <protection locked="0"/>
    </xf>
    <xf numFmtId="172" fontId="5" fillId="39" borderId="96" xfId="44" applyNumberFormat="1" applyFont="1" applyFill="1" applyBorder="1" applyAlignment="1" applyProtection="1">
      <alignment horizontal="center" wrapText="1"/>
      <protection locked="0"/>
    </xf>
    <xf numFmtId="172" fontId="5" fillId="39" borderId="22" xfId="44" applyNumberFormat="1" applyFont="1" applyFill="1" applyBorder="1" applyAlignment="1" applyProtection="1">
      <alignment horizontal="center" wrapText="1"/>
      <protection locked="0"/>
    </xf>
    <xf numFmtId="172" fontId="5" fillId="39" borderId="10" xfId="44" applyNumberFormat="1" applyFont="1" applyFill="1" applyBorder="1" applyAlignment="1" applyProtection="1">
      <alignment horizontal="center" wrapText="1"/>
      <protection locked="0"/>
    </xf>
    <xf numFmtId="172" fontId="5" fillId="39" borderId="21" xfId="44" applyNumberFormat="1" applyFont="1" applyFill="1" applyBorder="1" applyAlignment="1" applyProtection="1">
      <alignment horizontal="center" wrapText="1"/>
      <protection locked="0"/>
    </xf>
    <xf numFmtId="172" fontId="5" fillId="39" borderId="26" xfId="44" applyNumberFormat="1" applyFont="1" applyFill="1" applyBorder="1" applyAlignment="1" applyProtection="1">
      <alignment horizontal="center" wrapText="1"/>
      <protection locked="0"/>
    </xf>
    <xf numFmtId="172" fontId="5" fillId="39" borderId="31" xfId="44" applyNumberFormat="1" applyFont="1" applyFill="1" applyBorder="1" applyAlignment="1" applyProtection="1">
      <alignment horizontal="center" wrapText="1"/>
      <protection locked="0"/>
    </xf>
    <xf numFmtId="0" fontId="10" fillId="33" borderId="24" xfId="0" applyFont="1" applyFill="1" applyBorder="1" applyAlignment="1">
      <alignment horizontal="center" wrapText="1"/>
    </xf>
    <xf numFmtId="0" fontId="4" fillId="39" borderId="97" xfId="0" applyFont="1" applyFill="1" applyBorder="1" applyAlignment="1" applyProtection="1">
      <alignment horizontal="center" vertical="center" wrapText="1"/>
      <protection locked="0"/>
    </xf>
    <xf numFmtId="0" fontId="4" fillId="39" borderId="46" xfId="0" applyFont="1" applyFill="1" applyBorder="1" applyAlignment="1" applyProtection="1">
      <alignment horizontal="center" vertical="center" wrapText="1"/>
      <protection locked="0"/>
    </xf>
    <xf numFmtId="0" fontId="4" fillId="39" borderId="27" xfId="0" applyFont="1" applyFill="1" applyBorder="1" applyAlignment="1" applyProtection="1">
      <alignment horizontal="center" vertical="center" wrapText="1"/>
      <protection locked="0"/>
    </xf>
    <xf numFmtId="172" fontId="4" fillId="8" borderId="102" xfId="44" applyNumberFormat="1" applyFont="1" applyFill="1" applyBorder="1" applyAlignment="1" applyProtection="1">
      <alignment horizontal="center" wrapText="1"/>
      <protection locked="0"/>
    </xf>
    <xf numFmtId="172" fontId="4" fillId="8" borderId="37" xfId="44" applyNumberFormat="1" applyFont="1" applyFill="1" applyBorder="1" applyAlignment="1" applyProtection="1">
      <alignment horizontal="center" wrapText="1"/>
      <protection locked="0"/>
    </xf>
    <xf numFmtId="172" fontId="4" fillId="8" borderId="103" xfId="44" applyNumberFormat="1" applyFont="1" applyFill="1" applyBorder="1" applyAlignment="1" applyProtection="1">
      <alignment horizontal="center" wrapText="1"/>
      <protection locked="0"/>
    </xf>
    <xf numFmtId="172" fontId="4" fillId="8" borderId="104" xfId="44" applyNumberFormat="1" applyFont="1" applyFill="1" applyBorder="1" applyAlignment="1" applyProtection="1">
      <alignment horizontal="center" wrapText="1"/>
      <protection locked="0"/>
    </xf>
    <xf numFmtId="172" fontId="4" fillId="8" borderId="0" xfId="44" applyNumberFormat="1" applyFont="1" applyFill="1" applyBorder="1" applyAlignment="1" applyProtection="1">
      <alignment horizontal="center" wrapText="1"/>
      <protection locked="0"/>
    </xf>
    <xf numFmtId="172" fontId="4" fillId="8" borderId="105" xfId="44" applyNumberFormat="1" applyFont="1" applyFill="1" applyBorder="1" applyAlignment="1" applyProtection="1">
      <alignment horizontal="center" wrapText="1"/>
      <protection locked="0"/>
    </xf>
    <xf numFmtId="172" fontId="4" fillId="8" borderId="40" xfId="44" applyNumberFormat="1" applyFont="1" applyFill="1" applyBorder="1" applyAlignment="1" applyProtection="1">
      <alignment horizontal="center" wrapText="1"/>
      <protection locked="0"/>
    </xf>
    <xf numFmtId="172" fontId="4" fillId="8" borderId="30" xfId="44" applyNumberFormat="1" applyFont="1" applyFill="1" applyBorder="1" applyAlignment="1" applyProtection="1">
      <alignment horizontal="center" wrapText="1"/>
      <protection locked="0"/>
    </xf>
    <xf numFmtId="172" fontId="4" fillId="8" borderId="41" xfId="44" applyNumberFormat="1" applyFont="1" applyFill="1" applyBorder="1" applyAlignment="1" applyProtection="1">
      <alignment horizontal="center" wrapText="1"/>
      <protection locked="0"/>
    </xf>
    <xf numFmtId="0" fontId="4" fillId="39" borderId="20" xfId="0" applyFont="1" applyFill="1" applyBorder="1" applyAlignment="1" applyProtection="1">
      <alignment horizontal="center" vertical="center" wrapText="1"/>
      <protection locked="0"/>
    </xf>
    <xf numFmtId="0" fontId="4" fillId="39" borderId="18" xfId="0" applyFont="1" applyFill="1" applyBorder="1" applyAlignment="1" applyProtection="1">
      <alignment horizontal="center" vertical="center" wrapText="1"/>
      <protection locked="0"/>
    </xf>
    <xf numFmtId="0" fontId="4" fillId="39" borderId="42" xfId="0" applyFont="1" applyFill="1" applyBorder="1" applyAlignment="1" applyProtection="1">
      <alignment horizontal="center" vertical="center" wrapText="1"/>
      <protection locked="0"/>
    </xf>
    <xf numFmtId="0" fontId="4" fillId="39" borderId="44" xfId="0" applyFont="1" applyFill="1" applyBorder="1" applyAlignment="1" applyProtection="1">
      <alignment horizontal="center" vertical="center" wrapText="1"/>
      <protection locked="0"/>
    </xf>
    <xf numFmtId="0" fontId="4" fillId="39" borderId="35" xfId="0" applyFont="1" applyFill="1" applyBorder="1" applyAlignment="1" applyProtection="1">
      <alignment horizontal="center" vertical="center" wrapText="1"/>
      <protection locked="0"/>
    </xf>
    <xf numFmtId="0" fontId="4" fillId="39" borderId="28" xfId="0" applyFont="1" applyFill="1" applyBorder="1" applyAlignment="1" applyProtection="1">
      <alignment horizontal="center" vertical="center" wrapText="1"/>
      <protection locked="0"/>
    </xf>
    <xf numFmtId="0" fontId="11" fillId="0" borderId="31" xfId="0" applyFont="1" applyFill="1" applyBorder="1" applyAlignment="1" applyProtection="1">
      <alignment horizontal="center" vertical="top" wrapText="1"/>
      <protection/>
    </xf>
    <xf numFmtId="0" fontId="11" fillId="0" borderId="36" xfId="0" applyFont="1" applyFill="1" applyBorder="1" applyAlignment="1" applyProtection="1">
      <alignment horizontal="center" vertical="top" wrapText="1"/>
      <protection/>
    </xf>
    <xf numFmtId="0" fontId="4" fillId="8" borderId="33" xfId="0" applyFont="1" applyFill="1" applyBorder="1" applyAlignment="1" applyProtection="1">
      <alignment horizontal="left" vertical="center" wrapText="1"/>
      <protection locked="0"/>
    </xf>
    <xf numFmtId="0" fontId="4" fillId="8" borderId="109" xfId="0" applyFont="1" applyFill="1" applyBorder="1" applyAlignment="1" applyProtection="1">
      <alignment horizontal="left" vertical="center" wrapText="1"/>
      <protection locked="0"/>
    </xf>
    <xf numFmtId="0" fontId="11" fillId="0" borderId="10" xfId="0" applyFont="1" applyFill="1" applyBorder="1" applyAlignment="1" applyProtection="1">
      <alignment horizontal="left" vertical="top" wrapText="1"/>
      <protection/>
    </xf>
    <xf numFmtId="173" fontId="12" fillId="0" borderId="31" xfId="44" applyNumberFormat="1" applyFont="1" applyFill="1" applyBorder="1" applyAlignment="1" applyProtection="1">
      <alignment horizontal="center" vertical="center" wrapText="1"/>
      <protection/>
    </xf>
    <xf numFmtId="173" fontId="12" fillId="0" borderId="36" xfId="44" applyNumberFormat="1" applyFont="1" applyFill="1" applyBorder="1" applyAlignment="1" applyProtection="1">
      <alignment horizontal="center" vertical="center" wrapText="1"/>
      <protection/>
    </xf>
    <xf numFmtId="0" fontId="11" fillId="0" borderId="10" xfId="0" applyFont="1" applyFill="1" applyBorder="1" applyAlignment="1" applyProtection="1">
      <alignment horizontal="center" vertical="top" wrapText="1"/>
      <protection/>
    </xf>
    <xf numFmtId="0" fontId="12" fillId="0" borderId="10" xfId="58" applyFont="1" applyFill="1" applyBorder="1" applyAlignment="1" applyProtection="1">
      <alignment horizontal="center" vertical="center" wrapText="1"/>
      <protection/>
    </xf>
    <xf numFmtId="0" fontId="6" fillId="0" borderId="10" xfId="0" applyFont="1" applyFill="1" applyBorder="1" applyAlignment="1" applyProtection="1">
      <alignment horizontal="center" vertical="center"/>
      <protection locked="0"/>
    </xf>
    <xf numFmtId="0" fontId="12" fillId="0" borderId="31" xfId="58" applyFont="1" applyFill="1" applyBorder="1" applyAlignment="1" applyProtection="1">
      <alignment horizontal="center" vertical="center" wrapText="1"/>
      <protection/>
    </xf>
    <xf numFmtId="0" fontId="12" fillId="0" borderId="36" xfId="58" applyFont="1" applyFill="1" applyBorder="1" applyAlignment="1" applyProtection="1">
      <alignment horizontal="center" vertical="center" wrapText="1"/>
      <protection/>
    </xf>
    <xf numFmtId="0" fontId="11" fillId="0" borderId="31" xfId="0" applyFont="1" applyFill="1" applyBorder="1" applyAlignment="1" applyProtection="1">
      <alignment horizontal="left" vertical="top" wrapText="1"/>
      <protection/>
    </xf>
    <xf numFmtId="0" fontId="11" fillId="0" borderId="36" xfId="0" applyFont="1" applyFill="1" applyBorder="1" applyAlignment="1" applyProtection="1">
      <alignment horizontal="left" vertical="top" wrapText="1"/>
      <protection/>
    </xf>
    <xf numFmtId="0" fontId="12" fillId="0" borderId="26" xfId="58" applyFont="1" applyFill="1" applyBorder="1" applyAlignment="1" applyProtection="1">
      <alignment horizontal="center" vertical="center" wrapText="1"/>
      <protection/>
    </xf>
    <xf numFmtId="0" fontId="4" fillId="8" borderId="0" xfId="0" applyFont="1" applyFill="1" applyBorder="1" applyAlignment="1" applyProtection="1">
      <alignment horizontal="left" vertical="center" wrapText="1"/>
      <protection locked="0"/>
    </xf>
    <xf numFmtId="0" fontId="4" fillId="8" borderId="44" xfId="0" applyFont="1" applyFill="1" applyBorder="1" applyAlignment="1" applyProtection="1">
      <alignment horizontal="left" vertical="center" wrapText="1"/>
      <protection locked="0"/>
    </xf>
    <xf numFmtId="0" fontId="11" fillId="0" borderId="26" xfId="0" applyFont="1" applyFill="1" applyBorder="1" applyAlignment="1" applyProtection="1">
      <alignment horizontal="left" vertical="top" wrapText="1"/>
      <protection/>
    </xf>
    <xf numFmtId="0" fontId="16" fillId="8" borderId="10" xfId="0" applyFont="1" applyFill="1" applyBorder="1" applyAlignment="1" applyProtection="1">
      <alignment horizontal="center" vertical="center" wrapText="1"/>
      <protection locked="0"/>
    </xf>
    <xf numFmtId="0" fontId="16" fillId="8" borderId="34" xfId="0" applyFont="1" applyFill="1" applyBorder="1" applyAlignment="1" applyProtection="1">
      <alignment horizontal="center" vertical="top" wrapText="1"/>
      <protection locked="0"/>
    </xf>
    <xf numFmtId="0" fontId="16" fillId="8" borderId="38" xfId="0" applyFont="1" applyFill="1" applyBorder="1" applyAlignment="1" applyProtection="1">
      <alignment horizontal="center" vertical="top" wrapText="1"/>
      <protection locked="0"/>
    </xf>
    <xf numFmtId="0" fontId="16" fillId="8" borderId="12" xfId="0" applyFont="1" applyFill="1" applyBorder="1" applyAlignment="1" applyProtection="1">
      <alignment horizontal="center" vertical="top" wrapText="1"/>
      <protection locked="0"/>
    </xf>
    <xf numFmtId="0" fontId="16" fillId="33" borderId="13" xfId="0" applyFont="1" applyFill="1" applyBorder="1" applyAlignment="1" applyProtection="1">
      <alignment horizontal="center" vertical="center" wrapText="1"/>
      <protection locked="0"/>
    </xf>
    <xf numFmtId="0" fontId="16" fillId="8" borderId="31" xfId="0" applyFont="1" applyFill="1" applyBorder="1" applyAlignment="1" applyProtection="1">
      <alignment horizontal="center" vertical="center" wrapText="1"/>
      <protection locked="0"/>
    </xf>
    <xf numFmtId="0" fontId="16" fillId="8" borderId="13" xfId="0" applyFont="1" applyFill="1" applyBorder="1" applyAlignment="1" applyProtection="1">
      <alignment horizontal="center" vertical="center" wrapText="1"/>
      <protection locked="0"/>
    </xf>
    <xf numFmtId="172" fontId="16" fillId="8" borderId="34" xfId="42" applyNumberFormat="1" applyFont="1" applyFill="1" applyBorder="1" applyAlignment="1" applyProtection="1">
      <alignment horizontal="center" wrapText="1"/>
      <protection locked="0"/>
    </xf>
    <xf numFmtId="172" fontId="16" fillId="8" borderId="38" xfId="42" applyNumberFormat="1" applyFont="1" applyFill="1" applyBorder="1" applyAlignment="1" applyProtection="1">
      <alignment horizontal="center" wrapText="1"/>
      <protection locked="0"/>
    </xf>
    <xf numFmtId="172" fontId="16" fillId="8" borderId="12" xfId="42" applyNumberFormat="1" applyFont="1" applyFill="1" applyBorder="1" applyAlignment="1" applyProtection="1">
      <alignment horizontal="center" wrapText="1"/>
      <protection locked="0"/>
    </xf>
    <xf numFmtId="172" fontId="16" fillId="39" borderId="103" xfId="42" applyNumberFormat="1" applyFont="1" applyFill="1" applyBorder="1" applyAlignment="1" applyProtection="1">
      <alignment horizontal="center" wrapText="1"/>
      <protection locked="0"/>
    </xf>
    <xf numFmtId="172" fontId="16" fillId="39" borderId="105" xfId="42" applyNumberFormat="1" applyFont="1" applyFill="1" applyBorder="1" applyAlignment="1" applyProtection="1">
      <alignment horizontal="center" wrapText="1"/>
      <protection locked="0"/>
    </xf>
    <xf numFmtId="172" fontId="16" fillId="39" borderId="35" xfId="42" applyNumberFormat="1" applyFont="1" applyFill="1" applyBorder="1" applyAlignment="1" applyProtection="1">
      <alignment horizontal="center" wrapText="1"/>
      <protection locked="0"/>
    </xf>
    <xf numFmtId="172" fontId="16" fillId="39" borderId="30" xfId="42" applyNumberFormat="1" applyFont="1" applyFill="1" applyBorder="1" applyAlignment="1" applyProtection="1">
      <alignment horizontal="center" wrapText="1"/>
      <protection locked="0"/>
    </xf>
    <xf numFmtId="172" fontId="16" fillId="39" borderId="41" xfId="42" applyNumberFormat="1" applyFont="1" applyFill="1" applyBorder="1" applyAlignment="1" applyProtection="1">
      <alignment horizontal="center" wrapText="1"/>
      <protection locked="0"/>
    </xf>
    <xf numFmtId="0" fontId="16" fillId="8" borderId="25" xfId="0" applyFont="1" applyFill="1" applyBorder="1" applyAlignment="1" applyProtection="1">
      <alignment horizontal="center" vertical="center" wrapText="1"/>
      <protection locked="0"/>
    </xf>
    <xf numFmtId="0" fontId="16" fillId="8" borderId="32" xfId="0" applyFont="1" applyFill="1" applyBorder="1" applyAlignment="1" applyProtection="1">
      <alignment horizontal="center" vertical="center" wrapText="1"/>
      <protection locked="0"/>
    </xf>
    <xf numFmtId="0" fontId="16" fillId="8" borderId="45" xfId="0" applyFont="1" applyFill="1" applyBorder="1" applyAlignment="1" applyProtection="1">
      <alignment horizontal="center" vertical="center" wrapText="1"/>
      <protection locked="0"/>
    </xf>
    <xf numFmtId="0" fontId="16" fillId="8" borderId="20" xfId="0" applyFont="1" applyFill="1" applyBorder="1" applyAlignment="1" applyProtection="1">
      <alignment horizontal="center" vertical="center" wrapText="1"/>
      <protection locked="0"/>
    </xf>
    <xf numFmtId="0" fontId="16" fillId="8" borderId="18" xfId="0" applyFont="1" applyFill="1" applyBorder="1" applyAlignment="1" applyProtection="1">
      <alignment horizontal="center" vertical="center" wrapText="1"/>
      <protection locked="0"/>
    </xf>
    <xf numFmtId="0" fontId="16" fillId="8" borderId="42" xfId="0" applyFont="1" applyFill="1" applyBorder="1" applyAlignment="1" applyProtection="1">
      <alignment horizontal="center" vertical="center" wrapText="1"/>
      <protection locked="0"/>
    </xf>
    <xf numFmtId="0" fontId="16" fillId="8" borderId="44" xfId="0" applyFont="1" applyFill="1" applyBorder="1" applyAlignment="1" applyProtection="1">
      <alignment horizontal="center" vertical="center" wrapText="1"/>
      <protection locked="0"/>
    </xf>
    <xf numFmtId="0" fontId="16" fillId="8" borderId="35" xfId="0" applyFont="1" applyFill="1" applyBorder="1" applyAlignment="1" applyProtection="1">
      <alignment horizontal="center" vertical="center" wrapText="1"/>
      <protection locked="0"/>
    </xf>
    <xf numFmtId="0" fontId="16" fillId="8" borderId="28" xfId="0" applyFont="1" applyFill="1" applyBorder="1" applyAlignment="1" applyProtection="1">
      <alignment horizontal="center" vertical="center" wrapText="1"/>
      <protection locked="0"/>
    </xf>
    <xf numFmtId="0" fontId="16" fillId="8" borderId="20" xfId="0" applyFont="1" applyFill="1" applyBorder="1" applyAlignment="1" applyProtection="1">
      <alignment horizontal="center" wrapText="1"/>
      <protection locked="0"/>
    </xf>
    <xf numFmtId="0" fontId="16" fillId="8" borderId="33" xfId="0" applyFont="1" applyFill="1" applyBorder="1" applyAlignment="1" applyProtection="1">
      <alignment horizontal="center" wrapText="1"/>
      <protection locked="0"/>
    </xf>
    <xf numFmtId="0" fontId="16" fillId="8" borderId="18" xfId="0" applyFont="1" applyFill="1" applyBorder="1" applyAlignment="1" applyProtection="1">
      <alignment horizontal="center" wrapText="1"/>
      <protection locked="0"/>
    </xf>
    <xf numFmtId="0" fontId="16" fillId="8" borderId="35" xfId="0" applyFont="1" applyFill="1" applyBorder="1" applyAlignment="1" applyProtection="1">
      <alignment horizontal="center" wrapText="1"/>
      <protection locked="0"/>
    </xf>
    <xf numFmtId="0" fontId="16" fillId="8" borderId="30" xfId="0" applyFont="1" applyFill="1" applyBorder="1" applyAlignment="1" applyProtection="1">
      <alignment horizontal="center" wrapText="1"/>
      <protection locked="0"/>
    </xf>
    <xf numFmtId="0" fontId="16" fillId="8" borderId="28" xfId="0" applyFont="1" applyFill="1" applyBorder="1" applyAlignment="1" applyProtection="1">
      <alignment horizontal="center" wrapText="1"/>
      <protection locked="0"/>
    </xf>
    <xf numFmtId="172" fontId="16" fillId="39" borderId="26" xfId="42" applyNumberFormat="1" applyFont="1" applyFill="1" applyBorder="1" applyAlignment="1" applyProtection="1">
      <alignment horizontal="center" wrapText="1"/>
      <protection locked="0"/>
    </xf>
    <xf numFmtId="172" fontId="16" fillId="39" borderId="31" xfId="42" applyNumberFormat="1" applyFont="1" applyFill="1" applyBorder="1" applyAlignment="1" applyProtection="1">
      <alignment horizontal="center" wrapText="1"/>
      <protection locked="0"/>
    </xf>
    <xf numFmtId="172" fontId="16" fillId="8" borderId="34" xfId="42" applyNumberFormat="1" applyFont="1" applyFill="1" applyBorder="1" applyAlignment="1" applyProtection="1">
      <alignment horizontal="center" vertical="center" wrapText="1"/>
      <protection locked="0"/>
    </xf>
    <xf numFmtId="172" fontId="16" fillId="8" borderId="38" xfId="42" applyNumberFormat="1" applyFont="1" applyFill="1" applyBorder="1" applyAlignment="1" applyProtection="1">
      <alignment horizontal="center" vertical="center" wrapText="1"/>
      <protection locked="0"/>
    </xf>
    <xf numFmtId="172" fontId="16" fillId="8" borderId="12" xfId="42" applyNumberFormat="1" applyFont="1" applyFill="1" applyBorder="1" applyAlignment="1" applyProtection="1">
      <alignment horizontal="center" vertical="center" wrapText="1"/>
      <protection locked="0"/>
    </xf>
    <xf numFmtId="0" fontId="16" fillId="8" borderId="97" xfId="0" applyFont="1" applyFill="1" applyBorder="1" applyAlignment="1" applyProtection="1">
      <alignment horizontal="center" vertical="center" wrapText="1"/>
      <protection locked="0"/>
    </xf>
    <xf numFmtId="0" fontId="16" fillId="8" borderId="46" xfId="0" applyFont="1" applyFill="1" applyBorder="1" applyAlignment="1" applyProtection="1">
      <alignment horizontal="center" vertical="center" wrapText="1"/>
      <protection locked="0"/>
    </xf>
    <xf numFmtId="0" fontId="16" fillId="8" borderId="27" xfId="0" applyFont="1" applyFill="1" applyBorder="1" applyAlignment="1" applyProtection="1">
      <alignment horizontal="center" vertical="center" wrapText="1"/>
      <protection locked="0"/>
    </xf>
    <xf numFmtId="0" fontId="29" fillId="8" borderId="96" xfId="0" applyFont="1" applyFill="1" applyBorder="1" applyAlignment="1">
      <alignment horizontal="center" vertical="center" wrapText="1"/>
    </xf>
    <xf numFmtId="0" fontId="104" fillId="8" borderId="46" xfId="0" applyFont="1" applyFill="1" applyBorder="1" applyAlignment="1">
      <alignment horizontal="center" vertical="center" wrapText="1"/>
    </xf>
    <xf numFmtId="0" fontId="104" fillId="8" borderId="27" xfId="0" applyFont="1" applyFill="1" applyBorder="1" applyAlignment="1">
      <alignment horizontal="center" vertical="center" wrapText="1"/>
    </xf>
    <xf numFmtId="0" fontId="104" fillId="8" borderId="96" xfId="0" applyFont="1" applyFill="1" applyBorder="1" applyAlignment="1">
      <alignment horizontal="center" vertical="center" wrapText="1"/>
    </xf>
    <xf numFmtId="0" fontId="16" fillId="8" borderId="34" xfId="0" applyFont="1" applyFill="1" applyBorder="1" applyAlignment="1" applyProtection="1">
      <alignment horizontal="left" vertical="center" wrapText="1"/>
      <protection locked="0"/>
    </xf>
    <xf numFmtId="0" fontId="16" fillId="8" borderId="38" xfId="0" applyFont="1" applyFill="1" applyBorder="1" applyAlignment="1" applyProtection="1">
      <alignment horizontal="left" vertical="center" wrapText="1"/>
      <protection locked="0"/>
    </xf>
    <xf numFmtId="0" fontId="16" fillId="8" borderId="12" xfId="0" applyFont="1" applyFill="1" applyBorder="1" applyAlignment="1" applyProtection="1">
      <alignment horizontal="left" vertical="center" wrapText="1"/>
      <protection locked="0"/>
    </xf>
    <xf numFmtId="0" fontId="11" fillId="33" borderId="19" xfId="0" applyFont="1" applyFill="1" applyBorder="1" applyAlignment="1" applyProtection="1">
      <alignment horizontal="center" vertical="center" wrapText="1"/>
      <protection locked="0"/>
    </xf>
    <xf numFmtId="0" fontId="11" fillId="33" borderId="13" xfId="0" applyFont="1" applyFill="1" applyBorder="1" applyAlignment="1" applyProtection="1">
      <alignment horizontal="center" vertical="center" wrapText="1"/>
      <protection locked="0"/>
    </xf>
    <xf numFmtId="172" fontId="16" fillId="39" borderId="28" xfId="42" applyNumberFormat="1" applyFont="1" applyFill="1" applyBorder="1" applyAlignment="1" applyProtection="1">
      <alignment horizontal="center" wrapText="1"/>
      <protection locked="0"/>
    </xf>
    <xf numFmtId="0" fontId="16" fillId="39" borderId="13" xfId="0" applyFont="1" applyFill="1" applyBorder="1" applyAlignment="1" applyProtection="1">
      <alignment horizontal="center" vertical="center" wrapText="1"/>
      <protection locked="0"/>
    </xf>
    <xf numFmtId="0" fontId="16" fillId="33" borderId="18" xfId="0" applyFont="1" applyFill="1" applyBorder="1" applyAlignment="1" applyProtection="1">
      <alignment horizontal="center" vertical="center" wrapText="1"/>
      <protection locked="0"/>
    </xf>
    <xf numFmtId="0" fontId="16" fillId="33" borderId="44" xfId="0" applyFont="1" applyFill="1" applyBorder="1" applyAlignment="1" applyProtection="1">
      <alignment horizontal="center" vertical="center" wrapText="1"/>
      <protection locked="0"/>
    </xf>
    <xf numFmtId="0" fontId="16" fillId="8" borderId="38" xfId="0" applyFont="1" applyFill="1" applyBorder="1" applyAlignment="1" applyProtection="1">
      <alignment horizontal="left" vertical="center" wrapText="1"/>
      <protection/>
    </xf>
    <xf numFmtId="0" fontId="16" fillId="8" borderId="12" xfId="0" applyFont="1" applyFill="1" applyBorder="1" applyAlignment="1" applyProtection="1">
      <alignment horizontal="left" vertical="center" wrapText="1"/>
      <protection/>
    </xf>
    <xf numFmtId="0" fontId="16" fillId="33" borderId="28" xfId="0" applyFont="1" applyFill="1" applyBorder="1" applyAlignment="1" applyProtection="1">
      <alignment horizontal="center" vertical="center" wrapText="1"/>
      <protection locked="0"/>
    </xf>
    <xf numFmtId="0" fontId="16" fillId="33" borderId="20" xfId="0" applyFont="1" applyFill="1" applyBorder="1" applyAlignment="1" applyProtection="1">
      <alignment horizontal="center" vertical="center" wrapText="1"/>
      <protection locked="0"/>
    </xf>
    <xf numFmtId="0" fontId="16" fillId="33" borderId="42" xfId="0" applyFont="1" applyFill="1" applyBorder="1" applyAlignment="1" applyProtection="1">
      <alignment horizontal="center" vertical="center" wrapText="1"/>
      <protection locked="0"/>
    </xf>
    <xf numFmtId="0" fontId="18" fillId="8" borderId="34" xfId="0" applyFont="1" applyFill="1" applyBorder="1" applyAlignment="1" applyProtection="1">
      <alignment horizontal="center" vertical="center" wrapText="1"/>
      <protection locked="0"/>
    </xf>
    <xf numFmtId="0" fontId="18" fillId="8" borderId="38" xfId="0" applyFont="1" applyFill="1" applyBorder="1" applyAlignment="1" applyProtection="1">
      <alignment horizontal="center" vertical="center" wrapText="1"/>
      <protection locked="0"/>
    </xf>
    <xf numFmtId="0" fontId="18" fillId="8" borderId="12" xfId="0" applyFont="1" applyFill="1" applyBorder="1" applyAlignment="1" applyProtection="1">
      <alignment horizontal="center" vertical="center" wrapText="1"/>
      <protection locked="0"/>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4" xfId="58"/>
    <cellStyle name="Normal 4 2"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8625"/>
          <c:y val="0.114"/>
          <c:w val="0.4305"/>
          <c:h val="0.7502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dLbls>
            <c:numFmt formatCode="General" sourceLinked="1"/>
            <c:spPr>
              <a:noFill/>
              <a:ln w="3175">
                <a:noFill/>
              </a:ln>
            </c:spPr>
            <c:dLblPos val="outEnd"/>
            <c:showLegendKey val="0"/>
            <c:showVal val="0"/>
            <c:showBubbleSize val="0"/>
            <c:showCatName val="0"/>
            <c:showSerName val="0"/>
            <c:showLeaderLines val="1"/>
            <c:showPercent val="1"/>
          </c:dLbls>
          <c:cat>
            <c:strRef>
              <c:f>ملخص!$B$7:$B$17</c:f>
              <c:strCache/>
            </c:strRef>
          </c:cat>
          <c:val>
            <c:numRef>
              <c:f>ملخص!$C$7:$C$17</c:f>
              <c:numCache/>
            </c:numRef>
          </c:val>
        </c:ser>
      </c:pieChart>
      <c:spPr>
        <a:noFill/>
        <a:ln>
          <a:noFill/>
        </a:ln>
      </c:spPr>
    </c:plotArea>
    <c:legend>
      <c:legendPos val="r"/>
      <c:layout>
        <c:manualLayout>
          <c:xMode val="edge"/>
          <c:yMode val="edge"/>
          <c:x val="0.8085"/>
          <c:y val="0.03025"/>
          <c:w val="0.1625"/>
          <c:h val="0.926"/>
        </c:manualLayout>
      </c:layout>
      <c:overlay val="0"/>
      <c:spPr>
        <a:noFill/>
        <a:ln w="3175">
          <a:noFill/>
        </a:ln>
      </c:spPr>
      <c:txPr>
        <a:bodyPr vert="horz" rot="0"/>
        <a:lstStyle/>
        <a:p>
          <a:pPr>
            <a:defRPr lang="en-US" cap="none" sz="775" b="0" i="0" u="none" baseline="0">
              <a:solidFill>
                <a:srgbClr val="000000"/>
              </a:solidFill>
              <a:latin typeface="Calibri"/>
              <a:ea typeface="Calibri"/>
              <a:cs typeface="Calibri"/>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835"/>
          <c:y val="0.0975"/>
          <c:w val="0.27"/>
          <c:h val="0.776"/>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Lbls>
            <c:numFmt formatCode="General" sourceLinked="1"/>
            <c:spPr>
              <a:noFill/>
              <a:ln w="3175">
                <a:noFill/>
              </a:ln>
            </c:spPr>
            <c:dLblPos val="outEnd"/>
            <c:showLegendKey val="0"/>
            <c:showVal val="0"/>
            <c:showBubbleSize val="0"/>
            <c:showCatName val="0"/>
            <c:showSerName val="0"/>
            <c:showLeaderLines val="0"/>
            <c:showPercent val="1"/>
          </c:dLbls>
          <c:cat>
            <c:strRef>
              <c:f>ملخص!$B$24:$B$29</c:f>
              <c:strCache/>
            </c:strRef>
          </c:cat>
          <c:val>
            <c:numRef>
              <c:f>ملخص!$C$24:$C$29</c:f>
              <c:numCache/>
            </c:numRef>
          </c:val>
        </c:ser>
      </c:pieChart>
      <c:spPr>
        <a:noFill/>
        <a:ln>
          <a:noFill/>
        </a:ln>
      </c:spPr>
    </c:plotArea>
    <c:legend>
      <c:legendPos val="r"/>
      <c:layout>
        <c:manualLayout>
          <c:xMode val="edge"/>
          <c:yMode val="edge"/>
          <c:x val="0.64075"/>
          <c:y val="0.01625"/>
          <c:w val="0.33075"/>
          <c:h val="0.9565"/>
        </c:manualLayout>
      </c:layout>
      <c:overlay val="0"/>
      <c:spPr>
        <a:noFill/>
        <a:ln w="3175">
          <a:noFill/>
        </a:ln>
      </c:spPr>
      <c:txPr>
        <a:bodyPr vert="horz" rot="0"/>
        <a:lstStyle/>
        <a:p>
          <a:pPr>
            <a:defRPr lang="en-US" cap="none" sz="775" b="0" i="0" u="none" baseline="0">
              <a:solidFill>
                <a:srgbClr val="000000"/>
              </a:solidFill>
              <a:latin typeface="Calibri"/>
              <a:ea typeface="Calibri"/>
              <a:cs typeface="Calibri"/>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48"/>
      <c:rotY val="20"/>
      <c:depthPercent val="100"/>
      <c:rAngAx val="1"/>
    </c:view3D>
    <c:plotArea>
      <c:layout>
        <c:manualLayout>
          <c:xMode val="edge"/>
          <c:yMode val="edge"/>
          <c:x val="0.00175"/>
          <c:y val="0.00275"/>
          <c:w val="0.804"/>
          <c:h val="0.9035"/>
        </c:manualLayout>
      </c:layout>
      <c:bar3DChart>
        <c:barDir val="col"/>
        <c:grouping val="percentStacked"/>
        <c:varyColors val="0"/>
        <c:ser>
          <c:idx val="0"/>
          <c:order val="0"/>
          <c:tx>
            <c:strRef>
              <c:f>ملخص!$C$35</c:f>
              <c:strCache>
                <c:ptCount val="1"/>
                <c:pt idx="0">
                  <c:v>صندوق رواتب الموظفين الإضافيين  </c:v>
                </c:pt>
              </c:strCache>
            </c:strRef>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ملخص!$B$44:$B$49</c:f>
              <c:strCache/>
            </c:strRef>
          </c:cat>
          <c:val>
            <c:numRef>
              <c:f>ملخص!$C$44:$C$49</c:f>
              <c:numCache/>
            </c:numRef>
          </c:val>
          <c:shape val="box"/>
        </c:ser>
        <c:ser>
          <c:idx val="1"/>
          <c:order val="1"/>
          <c:tx>
            <c:strRef>
              <c:f>ملخص!$D$35</c:f>
              <c:strCache>
                <c:ptCount val="1"/>
                <c:pt idx="0">
                  <c:v>مصاريف المؤتمرات / الحلقات النقاشية والدورات التدريبية   </c:v>
                </c:pt>
              </c:strCache>
            </c:strRef>
          </c:tx>
          <c:spPr>
            <a:solidFill>
              <a:srgbClr val="AA464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ملخص!$B$44:$B$49</c:f>
              <c:strCache/>
            </c:strRef>
          </c:cat>
          <c:val>
            <c:numRef>
              <c:f>ملخص!$D$44:$D$49</c:f>
              <c:numCache/>
            </c:numRef>
          </c:val>
          <c:shape val="box"/>
        </c:ser>
        <c:ser>
          <c:idx val="2"/>
          <c:order val="2"/>
          <c:tx>
            <c:strRef>
              <c:f>ملخص!$E$35</c:f>
              <c:strCache>
                <c:ptCount val="1"/>
                <c:pt idx="0">
                  <c:v>الخبراء (المحليون والأجنبيون)</c:v>
                </c:pt>
              </c:strCache>
            </c:strRef>
          </c:tx>
          <c:spPr>
            <a:solidFill>
              <a:srgbClr val="89A5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ملخص!$B$44:$B$49</c:f>
              <c:strCache/>
            </c:strRef>
          </c:cat>
          <c:val>
            <c:numRef>
              <c:f>ملخص!$E$44:$E$49</c:f>
              <c:numCache/>
            </c:numRef>
          </c:val>
          <c:shape val="box"/>
        </c:ser>
        <c:ser>
          <c:idx val="3"/>
          <c:order val="3"/>
          <c:tx>
            <c:strRef>
              <c:f>ملخص!$F$35</c:f>
              <c:strCache>
                <c:ptCount val="1"/>
                <c:pt idx="0">
                  <c:v>مصاريف المعلومات العامة (المطبوعات)   </c:v>
                </c:pt>
              </c:strCache>
            </c:strRef>
          </c:tx>
          <c:spPr>
            <a:solidFill>
              <a:srgbClr val="71588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ملخص!$B$44:$B$49</c:f>
              <c:strCache/>
            </c:strRef>
          </c:cat>
          <c:val>
            <c:numRef>
              <c:f>ملخص!$F$44:$F$49</c:f>
              <c:numCache/>
            </c:numRef>
          </c:val>
          <c:shape val="box"/>
        </c:ser>
        <c:ser>
          <c:idx val="4"/>
          <c:order val="4"/>
          <c:tx>
            <c:strRef>
              <c:f>ملخص!$G$35</c:f>
              <c:strCache>
                <c:ptCount val="1"/>
                <c:pt idx="0">
                  <c:v>المباني </c:v>
                </c:pt>
              </c:strCache>
            </c:strRef>
          </c:tx>
          <c:spPr>
            <a:solidFill>
              <a:srgbClr val="4198A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ملخص!$B$44:$B$49</c:f>
              <c:strCache/>
            </c:strRef>
          </c:cat>
          <c:val>
            <c:numRef>
              <c:f>ملخص!$G$44:$G$49</c:f>
              <c:numCache/>
            </c:numRef>
          </c:val>
          <c:shape val="box"/>
        </c:ser>
        <c:ser>
          <c:idx val="5"/>
          <c:order val="5"/>
          <c:tx>
            <c:strRef>
              <c:f>ملخص!$H$35</c:f>
              <c:strCache>
                <c:ptCount val="1"/>
                <c:pt idx="0">
                  <c:v>البرمجيات الحاسوبية </c:v>
                </c:pt>
              </c:strCache>
            </c:strRef>
          </c:tx>
          <c:spPr>
            <a:solidFill>
              <a:srgbClr val="DB843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ملخص!$B$44:$B$49</c:f>
              <c:strCache/>
            </c:strRef>
          </c:cat>
          <c:val>
            <c:numRef>
              <c:f>ملخص!$H$44:$H$49</c:f>
              <c:numCache/>
            </c:numRef>
          </c:val>
          <c:shape val="box"/>
        </c:ser>
        <c:ser>
          <c:idx val="6"/>
          <c:order val="6"/>
          <c:tx>
            <c:strRef>
              <c:f>ملخص!$I$35</c:f>
              <c:strCache>
                <c:ptCount val="1"/>
                <c:pt idx="0">
                  <c:v>الأجهزة المادية الحاسوبية</c:v>
                </c:pt>
              </c:strCache>
            </c:strRef>
          </c:tx>
          <c:spPr>
            <a:solidFill>
              <a:srgbClr val="93A9C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ملخص!$B$44:$B$49</c:f>
              <c:strCache/>
            </c:strRef>
          </c:cat>
          <c:val>
            <c:numRef>
              <c:f>ملخص!$I$44:$I$49</c:f>
              <c:numCache/>
            </c:numRef>
          </c:val>
          <c:shape val="box"/>
        </c:ser>
        <c:ser>
          <c:idx val="7"/>
          <c:order val="7"/>
          <c:tx>
            <c:strRef>
              <c:f>ملخص!$J$35</c:f>
              <c:strCache>
                <c:ptCount val="1"/>
                <c:pt idx="0">
                  <c:v>مستلزمات المكاتب </c:v>
                </c:pt>
              </c:strCache>
            </c:strRef>
          </c:tx>
          <c:spPr>
            <a:solidFill>
              <a:srgbClr val="D1939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ملخص!$B$44:$B$49</c:f>
              <c:strCache/>
            </c:strRef>
          </c:cat>
          <c:val>
            <c:numRef>
              <c:f>ملخص!$J$44:$J$49</c:f>
              <c:numCache/>
            </c:numRef>
          </c:val>
          <c:shape val="box"/>
        </c:ser>
        <c:ser>
          <c:idx val="8"/>
          <c:order val="8"/>
          <c:tx>
            <c:strRef>
              <c:f>ملخص!$K$35</c:f>
              <c:strCache>
                <c:ptCount val="1"/>
                <c:pt idx="0">
                  <c:v>مصاريف أخرى وصيانة </c:v>
                </c:pt>
              </c:strCache>
            </c:strRef>
          </c:tx>
          <c:spPr>
            <a:solidFill>
              <a:srgbClr val="B9CD9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ملخص!$B$44:$B$49</c:f>
              <c:strCache/>
            </c:strRef>
          </c:cat>
          <c:val>
            <c:numRef>
              <c:f>ملخص!$K$44:$K$49</c:f>
              <c:numCache/>
            </c:numRef>
          </c:val>
          <c:shape val="box"/>
        </c:ser>
        <c:overlap val="100"/>
        <c:shape val="box"/>
        <c:axId val="3242475"/>
        <c:axId val="29182276"/>
      </c:bar3DChart>
      <c:catAx>
        <c:axId val="3242475"/>
        <c:scaling>
          <c:orientation val="minMax"/>
        </c:scaling>
        <c:axPos val="b"/>
        <c:delete val="0"/>
        <c:numFmt formatCode="General" sourceLinked="1"/>
        <c:majorTickMark val="out"/>
        <c:minorTickMark val="none"/>
        <c:tickLblPos val="nextTo"/>
        <c:spPr>
          <a:ln w="3175">
            <a:solidFill>
              <a:srgbClr val="808080"/>
            </a:solidFill>
          </a:ln>
        </c:spPr>
        <c:crossAx val="29182276"/>
        <c:crosses val="autoZero"/>
        <c:auto val="1"/>
        <c:lblOffset val="100"/>
        <c:tickLblSkip val="1"/>
        <c:noMultiLvlLbl val="0"/>
      </c:catAx>
      <c:valAx>
        <c:axId val="29182276"/>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242475"/>
        <c:crossesAt val="1"/>
        <c:crossBetween val="between"/>
        <c:dispUnits/>
      </c:valAx>
      <c:spPr>
        <a:noFill/>
        <a:ln>
          <a:noFill/>
        </a:ln>
      </c:spPr>
    </c:plotArea>
    <c:legend>
      <c:legendPos val="r"/>
      <c:layout>
        <c:manualLayout>
          <c:xMode val="edge"/>
          <c:yMode val="edge"/>
          <c:x val="0.73825"/>
          <c:y val="0.319"/>
          <c:w val="0.25825"/>
          <c:h val="0.35425"/>
        </c:manualLayout>
      </c:layout>
      <c:overlay val="0"/>
      <c:spPr>
        <a:noFill/>
        <a:ln w="3175">
          <a:noFill/>
        </a:ln>
      </c:spPr>
      <c:txPr>
        <a:bodyPr vert="horz" rot="0"/>
        <a:lstStyle/>
        <a:p>
          <a:pPr>
            <a:defRPr lang="en-US" cap="none" sz="690" b="0" i="0" u="none" baseline="0">
              <a:solidFill>
                <a:srgbClr val="000000"/>
              </a:solidFill>
              <a:latin typeface="Calibri"/>
              <a:ea typeface="Calibri"/>
              <a:cs typeface="Calibri"/>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9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75"/>
      <c:hPercent val="100"/>
      <c:rotY val="0"/>
      <c:depthPercent val="100"/>
      <c:rAngAx val="1"/>
    </c:view3D>
    <c:plotArea>
      <c:layout>
        <c:manualLayout>
          <c:xMode val="edge"/>
          <c:yMode val="edge"/>
          <c:x val="0.3165"/>
          <c:y val="0.10325"/>
          <c:w val="0.36375"/>
          <c:h val="0.7865"/>
        </c:manualLayout>
      </c:layout>
      <c:pie3D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Lbls>
            <c:dLbl>
              <c:idx val="2"/>
              <c:tx>
                <c:rich>
                  <a:bodyPr vert="horz" rot="0" anchor="ctr"/>
                  <a:lstStyle/>
                  <a:p>
                    <a:pPr algn="ctr">
                      <a:defRPr/>
                    </a:pPr>
                    <a:r>
                      <a:rPr lang="en-US" cap="none" sz="1000" b="0" i="0" u="none" baseline="0">
                        <a:solidFill>
                          <a:srgbClr val="000000"/>
                        </a:solidFill>
                        <a:latin typeface="Calibri"/>
                        <a:ea typeface="Calibri"/>
                        <a:cs typeface="Calibri"/>
                      </a:rPr>
                      <a:t>المانحون (مجلس أوروبا+)
8%</a:t>
                    </a:r>
                  </a:p>
                </c:rich>
              </c:tx>
              <c:numFmt formatCode="General" sourceLinked="1"/>
              <c:spPr>
                <a:noFill/>
                <a:ln w="3175">
                  <a:noFill/>
                </a:ln>
              </c:spPr>
              <c:dLblPos val="bestFit"/>
              <c:showLegendKey val="0"/>
              <c:showVal val="0"/>
              <c:showBubbleSize val="0"/>
              <c:showCatName val="1"/>
              <c:showSerName val="0"/>
              <c:showPercent val="0"/>
            </c:dLbl>
            <c:dLbl>
              <c:idx val="3"/>
              <c:tx>
                <c:rich>
                  <a:bodyPr vert="horz" rot="0" anchor="ctr"/>
                  <a:lstStyle/>
                  <a:p>
                    <a:pPr algn="ctr">
                      <a:defRPr/>
                    </a:pPr>
                    <a:r>
                      <a:rPr lang="en-US" cap="none" sz="1000" b="0" i="0" u="none" baseline="0">
                        <a:solidFill>
                          <a:srgbClr val="000000"/>
                        </a:solidFill>
                        <a:latin typeface="Calibri"/>
                        <a:ea typeface="Calibri"/>
                        <a:cs typeface="Calibri"/>
                      </a:rPr>
                      <a:t>البنك الدولي
0%</a:t>
                    </a:r>
                  </a:p>
                </c:rich>
              </c:tx>
              <c:numFmt formatCode="General" sourceLinked="1"/>
              <c:spPr>
                <a:noFill/>
                <a:ln w="3175">
                  <a:noFill/>
                </a:ln>
              </c:spPr>
              <c:dLblPos val="bestFit"/>
              <c:showLegendKey val="0"/>
              <c:showVal val="0"/>
              <c:showBubbleSize val="0"/>
              <c:showCatName val="1"/>
              <c:showSerName val="0"/>
              <c:showPercent val="0"/>
            </c:dLbl>
            <c:dLbl>
              <c:idx val="5"/>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dLbl>
            <c:numFmt formatCode="General" sourceLinked="1"/>
            <c:spPr>
              <a:noFill/>
              <a:ln w="3175">
                <a:noFill/>
              </a:ln>
            </c:spPr>
            <c:dLblPos val="outEnd"/>
            <c:showLegendKey val="0"/>
            <c:showVal val="0"/>
            <c:showBubbleSize val="0"/>
            <c:showCatName val="1"/>
            <c:showSerName val="0"/>
            <c:showLeaderLines val="0"/>
            <c:showPercent val="1"/>
          </c:dLbls>
          <c:cat>
            <c:strRef>
              <c:f>ملخص!$B$54:$B$59</c:f>
              <c:strCache/>
            </c:strRef>
          </c:cat>
          <c:val>
            <c:numRef>
              <c:f>ملخص!$C$54:$C$59</c:f>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1</xdr:row>
      <xdr:rowOff>19050</xdr:rowOff>
    </xdr:from>
    <xdr:to>
      <xdr:col>11</xdr:col>
      <xdr:colOff>381000</xdr:colOff>
      <xdr:row>7</xdr:row>
      <xdr:rowOff>114300</xdr:rowOff>
    </xdr:to>
    <xdr:pic>
      <xdr:nvPicPr>
        <xdr:cNvPr id="1" name="Picture 2"/>
        <xdr:cNvPicPr preferRelativeResize="1">
          <a:picLocks noChangeAspect="1"/>
        </xdr:cNvPicPr>
      </xdr:nvPicPr>
      <xdr:blipFill>
        <a:blip r:embed="rId1"/>
        <a:stretch>
          <a:fillRect/>
        </a:stretch>
      </xdr:blipFill>
      <xdr:spPr>
        <a:xfrm>
          <a:off x="38100" y="209550"/>
          <a:ext cx="7515225" cy="12382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133350</xdr:colOff>
      <xdr:row>4</xdr:row>
      <xdr:rowOff>9525</xdr:rowOff>
    </xdr:from>
    <xdr:to>
      <xdr:col>15</xdr:col>
      <xdr:colOff>485775</xdr:colOff>
      <xdr:row>18</xdr:row>
      <xdr:rowOff>95250</xdr:rowOff>
    </xdr:to>
    <xdr:graphicFrame>
      <xdr:nvGraphicFramePr>
        <xdr:cNvPr id="1" name="Chart 1"/>
        <xdr:cNvGraphicFramePr/>
      </xdr:nvGraphicFramePr>
      <xdr:xfrm>
        <a:off x="8134350" y="781050"/>
        <a:ext cx="5010150" cy="2914650"/>
      </xdr:xfrm>
      <a:graphic>
        <a:graphicData uri="http://schemas.openxmlformats.org/drawingml/2006/chart">
          <c:chart xmlns:c="http://schemas.openxmlformats.org/drawingml/2006/chart" r:id="rId1"/>
        </a:graphicData>
      </a:graphic>
    </xdr:graphicFrame>
    <xdr:clientData/>
  </xdr:twoCellAnchor>
  <xdr:twoCellAnchor>
    <xdr:from>
      <xdr:col>9</xdr:col>
      <xdr:colOff>171450</xdr:colOff>
      <xdr:row>21</xdr:row>
      <xdr:rowOff>19050</xdr:rowOff>
    </xdr:from>
    <xdr:to>
      <xdr:col>16</xdr:col>
      <xdr:colOff>28575</xdr:colOff>
      <xdr:row>30</xdr:row>
      <xdr:rowOff>0</xdr:rowOff>
    </xdr:to>
    <xdr:graphicFrame>
      <xdr:nvGraphicFramePr>
        <xdr:cNvPr id="2" name="Chart 2"/>
        <xdr:cNvGraphicFramePr/>
      </xdr:nvGraphicFramePr>
      <xdr:xfrm>
        <a:off x="8172450" y="4200525"/>
        <a:ext cx="5124450" cy="1838325"/>
      </xdr:xfrm>
      <a:graphic>
        <a:graphicData uri="http://schemas.openxmlformats.org/drawingml/2006/chart">
          <c:chart xmlns:c="http://schemas.openxmlformats.org/drawingml/2006/chart" r:id="rId2"/>
        </a:graphicData>
      </a:graphic>
    </xdr:graphicFrame>
    <xdr:clientData/>
  </xdr:twoCellAnchor>
  <xdr:twoCellAnchor>
    <xdr:from>
      <xdr:col>12</xdr:col>
      <xdr:colOff>304800</xdr:colOff>
      <xdr:row>33</xdr:row>
      <xdr:rowOff>28575</xdr:rowOff>
    </xdr:from>
    <xdr:to>
      <xdr:col>25</xdr:col>
      <xdr:colOff>209550</xdr:colOff>
      <xdr:row>51</xdr:row>
      <xdr:rowOff>171450</xdr:rowOff>
    </xdr:to>
    <xdr:graphicFrame>
      <xdr:nvGraphicFramePr>
        <xdr:cNvPr id="3" name="Chart 5"/>
        <xdr:cNvGraphicFramePr/>
      </xdr:nvGraphicFramePr>
      <xdr:xfrm>
        <a:off x="10725150" y="6648450"/>
        <a:ext cx="8239125" cy="3876675"/>
      </xdr:xfrm>
      <a:graphic>
        <a:graphicData uri="http://schemas.openxmlformats.org/drawingml/2006/chart">
          <c:chart xmlns:c="http://schemas.openxmlformats.org/drawingml/2006/chart" r:id="rId3"/>
        </a:graphicData>
      </a:graphic>
    </xdr:graphicFrame>
    <xdr:clientData/>
  </xdr:twoCellAnchor>
  <xdr:twoCellAnchor>
    <xdr:from>
      <xdr:col>3</xdr:col>
      <xdr:colOff>428625</xdr:colOff>
      <xdr:row>51</xdr:row>
      <xdr:rowOff>95250</xdr:rowOff>
    </xdr:from>
    <xdr:to>
      <xdr:col>10</xdr:col>
      <xdr:colOff>38100</xdr:colOff>
      <xdr:row>65</xdr:row>
      <xdr:rowOff>171450</xdr:rowOff>
    </xdr:to>
    <xdr:graphicFrame>
      <xdr:nvGraphicFramePr>
        <xdr:cNvPr id="4" name="Chart 6"/>
        <xdr:cNvGraphicFramePr/>
      </xdr:nvGraphicFramePr>
      <xdr:xfrm>
        <a:off x="3219450" y="10448925"/>
        <a:ext cx="5467350" cy="2771775"/>
      </xdr:xfrm>
      <a:graphic>
        <a:graphicData uri="http://schemas.openxmlformats.org/drawingml/2006/chart">
          <c:chart xmlns:c="http://schemas.openxmlformats.org/drawingml/2006/chart" r:id="rId4"/>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Users\PC\AppData\Local\Microsoft\Windows\Temporary%20Internet%20Files\Content.Outlook\M987B4P8\SNRAP%20costing%20table%20Inovacioni%2016%2001%202015_bis_L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Buxhetimi i produkteve"/>
      <sheetName val="D.Cmimet referuese "/>
      <sheetName val="Sheet1"/>
      <sheetName val="Sheet2"/>
    </sheetNames>
    <sheetDataSet>
      <sheetData sheetId="3">
        <row r="25">
          <cell r="I25">
            <v>3476278.5714285714</v>
          </cell>
        </row>
        <row r="26">
          <cell r="I26">
            <v>2967650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oecd.org/termsandconditions"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9:O30"/>
  <sheetViews>
    <sheetView zoomScale="85" zoomScaleNormal="85" zoomScalePageLayoutView="0" workbookViewId="0" topLeftCell="A28">
      <selection activeCell="D29" sqref="D29:J29"/>
    </sheetView>
  </sheetViews>
  <sheetFormatPr defaultColWidth="9.140625" defaultRowHeight="15"/>
  <cols>
    <col min="2" max="2" width="9.28125" style="805" customWidth="1"/>
    <col min="5" max="5" width="16.00390625" style="0" bestFit="1" customWidth="1"/>
  </cols>
  <sheetData>
    <row r="2" ht="15"/>
    <row r="3" ht="15"/>
    <row r="4" ht="15"/>
    <row r="5" ht="15"/>
    <row r="6" ht="15"/>
    <row r="7" ht="15"/>
    <row r="8" ht="15"/>
    <row r="9" spans="1:11" ht="15">
      <c r="A9" s="810"/>
      <c r="B9" s="811"/>
      <c r="C9" s="810"/>
      <c r="D9" s="810"/>
      <c r="E9" s="810"/>
      <c r="F9" s="810"/>
      <c r="G9" s="810"/>
      <c r="H9" s="810"/>
      <c r="I9" s="810"/>
      <c r="J9" s="810"/>
      <c r="K9" s="810"/>
    </row>
    <row r="10" spans="1:11" ht="15">
      <c r="A10" s="810"/>
      <c r="B10" s="811"/>
      <c r="C10" s="810"/>
      <c r="D10" s="810"/>
      <c r="E10" s="810"/>
      <c r="F10" s="810"/>
      <c r="G10" s="810"/>
      <c r="H10" s="810"/>
      <c r="I10" s="810"/>
      <c r="J10" s="810"/>
      <c r="K10" s="810"/>
    </row>
    <row r="11" spans="1:11" ht="15">
      <c r="A11" s="810"/>
      <c r="B11" s="811"/>
      <c r="C11" s="810"/>
      <c r="D11" s="810"/>
      <c r="E11" s="810"/>
      <c r="F11" s="810"/>
      <c r="G11" s="810"/>
      <c r="H11" s="810"/>
      <c r="I11" s="810"/>
      <c r="J11" s="810"/>
      <c r="K11" s="810"/>
    </row>
    <row r="12" spans="1:15" ht="28.5">
      <c r="A12" s="825" t="s">
        <v>1169</v>
      </c>
      <c r="B12" s="825"/>
      <c r="C12" s="825"/>
      <c r="D12" s="825"/>
      <c r="E12" s="825"/>
      <c r="F12" s="825"/>
      <c r="G12" s="825"/>
      <c r="H12" s="825"/>
      <c r="I12" s="825"/>
      <c r="J12" s="825"/>
      <c r="K12" s="825"/>
      <c r="L12" s="806"/>
      <c r="M12" s="806"/>
      <c r="N12" s="806"/>
      <c r="O12" s="806"/>
    </row>
    <row r="13" spans="1:15" ht="28.5">
      <c r="A13" s="825" t="s">
        <v>1216</v>
      </c>
      <c r="B13" s="825"/>
      <c r="C13" s="825"/>
      <c r="D13" s="825"/>
      <c r="E13" s="825"/>
      <c r="F13" s="825"/>
      <c r="G13" s="825"/>
      <c r="H13" s="825"/>
      <c r="I13" s="825"/>
      <c r="J13" s="825"/>
      <c r="K13" s="825"/>
      <c r="L13" s="806"/>
      <c r="M13" s="806"/>
      <c r="N13" s="806"/>
      <c r="O13" s="806"/>
    </row>
    <row r="14" spans="1:15" ht="28.5">
      <c r="A14" s="825" t="s">
        <v>1170</v>
      </c>
      <c r="B14" s="825"/>
      <c r="C14" s="825"/>
      <c r="D14" s="825"/>
      <c r="E14" s="825"/>
      <c r="F14" s="825"/>
      <c r="G14" s="825"/>
      <c r="H14" s="825"/>
      <c r="I14" s="825"/>
      <c r="J14" s="825"/>
      <c r="K14" s="825"/>
      <c r="L14" s="806"/>
      <c r="M14" s="806"/>
      <c r="N14" s="806"/>
      <c r="O14" s="806"/>
    </row>
    <row r="15" spans="1:15" ht="28.5">
      <c r="A15" s="812"/>
      <c r="B15" s="814"/>
      <c r="C15" s="813"/>
      <c r="D15" s="810"/>
      <c r="E15" s="810"/>
      <c r="F15" s="810"/>
      <c r="G15" s="810"/>
      <c r="H15" s="810"/>
      <c r="I15" s="810"/>
      <c r="J15" s="810"/>
      <c r="K15" s="812"/>
      <c r="L15" s="806"/>
      <c r="M15" s="806"/>
      <c r="N15" s="806"/>
      <c r="O15" s="806"/>
    </row>
    <row r="16" spans="1:15" ht="28.5">
      <c r="A16" s="824" t="s">
        <v>617</v>
      </c>
      <c r="B16" s="824"/>
      <c r="C16" s="824"/>
      <c r="D16" s="824"/>
      <c r="E16" s="824"/>
      <c r="F16" s="824"/>
      <c r="G16" s="824"/>
      <c r="H16" s="824"/>
      <c r="I16" s="824"/>
      <c r="J16" s="824"/>
      <c r="K16" s="824"/>
      <c r="L16" s="806"/>
      <c r="M16" s="806"/>
      <c r="N16" s="806"/>
      <c r="O16" s="806"/>
    </row>
    <row r="17" spans="1:15" ht="28.5">
      <c r="A17" s="812"/>
      <c r="B17" s="814"/>
      <c r="C17" s="812"/>
      <c r="D17" s="810"/>
      <c r="E17" s="810"/>
      <c r="F17" s="810"/>
      <c r="G17" s="810"/>
      <c r="H17" s="810"/>
      <c r="I17" s="810"/>
      <c r="J17" s="810"/>
      <c r="K17" s="812"/>
      <c r="L17" s="806"/>
      <c r="M17" s="806"/>
      <c r="N17" s="806"/>
      <c r="O17" s="806"/>
    </row>
    <row r="18" spans="1:15" ht="28.5">
      <c r="A18" s="824" t="s">
        <v>618</v>
      </c>
      <c r="B18" s="824"/>
      <c r="C18" s="824"/>
      <c r="D18" s="824"/>
      <c r="E18" s="824"/>
      <c r="F18" s="824"/>
      <c r="G18" s="824"/>
      <c r="H18" s="824"/>
      <c r="I18" s="824"/>
      <c r="J18" s="824"/>
      <c r="K18" s="824"/>
      <c r="L18" s="806"/>
      <c r="M18" s="806"/>
      <c r="N18" s="806"/>
      <c r="O18" s="806"/>
    </row>
    <row r="19" spans="1:11" ht="28.5">
      <c r="A19" s="824" t="s">
        <v>615</v>
      </c>
      <c r="B19" s="824"/>
      <c r="C19" s="824"/>
      <c r="D19" s="824"/>
      <c r="E19" s="824"/>
      <c r="F19" s="824"/>
      <c r="G19" s="824"/>
      <c r="H19" s="824"/>
      <c r="I19" s="824"/>
      <c r="J19" s="824"/>
      <c r="K19" s="824"/>
    </row>
    <row r="20" spans="1:11" ht="38.25" customHeight="1">
      <c r="A20" s="810"/>
      <c r="B20" s="811"/>
      <c r="C20" s="810"/>
      <c r="D20" s="812"/>
      <c r="E20" s="812"/>
      <c r="F20" s="812"/>
      <c r="G20" s="812"/>
      <c r="H20" s="812"/>
      <c r="I20" s="812"/>
      <c r="J20" s="812"/>
      <c r="K20" s="810"/>
    </row>
    <row r="21" spans="1:11" ht="28.5">
      <c r="A21" s="825" t="s">
        <v>1217</v>
      </c>
      <c r="B21" s="824"/>
      <c r="C21" s="824"/>
      <c r="D21" s="824"/>
      <c r="E21" s="824"/>
      <c r="F21" s="824"/>
      <c r="G21" s="824"/>
      <c r="H21" s="824"/>
      <c r="I21" s="824"/>
      <c r="J21" s="824"/>
      <c r="K21" s="824"/>
    </row>
    <row r="22" spans="1:11" ht="28.5">
      <c r="A22" s="824" t="s">
        <v>616</v>
      </c>
      <c r="B22" s="824"/>
      <c r="C22" s="824"/>
      <c r="D22" s="824"/>
      <c r="E22" s="824"/>
      <c r="F22" s="824"/>
      <c r="G22" s="824"/>
      <c r="H22" s="824"/>
      <c r="I22" s="824"/>
      <c r="J22" s="824"/>
      <c r="K22" s="824"/>
    </row>
    <row r="23" spans="1:11" ht="15">
      <c r="A23" s="810"/>
      <c r="B23" s="811"/>
      <c r="C23" s="810"/>
      <c r="D23" s="810"/>
      <c r="E23" s="810"/>
      <c r="F23" s="810"/>
      <c r="G23" s="810"/>
      <c r="H23" s="810"/>
      <c r="I23" s="810"/>
      <c r="J23" s="810"/>
      <c r="K23" s="810"/>
    </row>
    <row r="24" spans="1:11" ht="28.5" customHeight="1">
      <c r="A24" s="810"/>
      <c r="B24" s="811"/>
      <c r="C24" s="810"/>
      <c r="D24" s="810"/>
      <c r="E24" s="810"/>
      <c r="F24" s="810"/>
      <c r="G24" s="810"/>
      <c r="H24" s="810"/>
      <c r="I24" s="810"/>
      <c r="J24" s="810"/>
      <c r="K24" s="810"/>
    </row>
    <row r="25" ht="30" customHeight="1"/>
    <row r="26" ht="27" customHeight="1"/>
    <row r="27" spans="2:10" ht="15" customHeight="1">
      <c r="B27" s="823" t="s">
        <v>1215</v>
      </c>
      <c r="C27" s="823"/>
      <c r="D27" s="819" t="s">
        <v>1218</v>
      </c>
      <c r="E27" s="820"/>
      <c r="F27" s="820"/>
      <c r="G27" s="820"/>
      <c r="H27" s="820"/>
      <c r="I27" s="820"/>
      <c r="J27" s="820"/>
    </row>
    <row r="28" spans="2:10" ht="15" customHeight="1">
      <c r="B28" s="823"/>
      <c r="C28" s="823"/>
      <c r="D28" s="819" t="s">
        <v>1219</v>
      </c>
      <c r="E28" s="820"/>
      <c r="F28" s="820"/>
      <c r="G28" s="820"/>
      <c r="H28" s="820"/>
      <c r="I28" s="820"/>
      <c r="J28" s="820"/>
    </row>
    <row r="29" spans="2:10" ht="15" customHeight="1">
      <c r="B29" s="823"/>
      <c r="C29" s="823"/>
      <c r="D29" s="821" t="s">
        <v>1214</v>
      </c>
      <c r="E29" s="822"/>
      <c r="F29" s="822"/>
      <c r="G29" s="822"/>
      <c r="H29" s="822"/>
      <c r="I29" s="822"/>
      <c r="J29" s="822"/>
    </row>
    <row r="30" spans="2:3" ht="15">
      <c r="B30" s="823"/>
      <c r="C30" s="823"/>
    </row>
  </sheetData>
  <sheetProtection/>
  <mergeCells count="12">
    <mergeCell ref="A12:K12"/>
    <mergeCell ref="A13:K13"/>
    <mergeCell ref="A14:K14"/>
    <mergeCell ref="A16:K16"/>
    <mergeCell ref="A18:K18"/>
    <mergeCell ref="D27:J27"/>
    <mergeCell ref="D28:J28"/>
    <mergeCell ref="D29:J29"/>
    <mergeCell ref="B27:C30"/>
    <mergeCell ref="A19:K19"/>
    <mergeCell ref="A21:K21"/>
    <mergeCell ref="A22:K22"/>
  </mergeCells>
  <hyperlinks>
    <hyperlink ref="D29" r:id="rId1" display="http://www.oecd.org/termsandconditions"/>
  </hyperlinks>
  <printOptions/>
  <pageMargins left="0.7" right="0.7" top="0.75" bottom="0.75" header="0.3" footer="0.3"/>
  <pageSetup horizontalDpi="600" verticalDpi="600" orientation="portrait" paperSize="9" r:id="rId3"/>
  <drawing r:id="rId2"/>
</worksheet>
</file>

<file path=xl/worksheets/sheet2.xml><?xml version="1.0" encoding="utf-8"?>
<worksheet xmlns="http://schemas.openxmlformats.org/spreadsheetml/2006/main" xmlns:r="http://schemas.openxmlformats.org/officeDocument/2006/relationships">
  <dimension ref="B2:M59"/>
  <sheetViews>
    <sheetView zoomScalePageLayoutView="0" workbookViewId="0" topLeftCell="A76">
      <selection activeCell="B26" sqref="B26"/>
    </sheetView>
  </sheetViews>
  <sheetFormatPr defaultColWidth="9.140625" defaultRowHeight="15"/>
  <cols>
    <col min="2" max="2" width="20.00390625" style="687" customWidth="1"/>
    <col min="3" max="3" width="12.7109375" style="687" customWidth="1"/>
    <col min="4" max="4" width="15.28125" style="687" customWidth="1"/>
    <col min="5" max="5" width="12.7109375" style="687" customWidth="1"/>
    <col min="6" max="6" width="13.28125" style="687" customWidth="1"/>
    <col min="7" max="7" width="13.421875" style="687" customWidth="1"/>
    <col min="8" max="9" width="11.7109375" style="687" bestFit="1" customWidth="1"/>
    <col min="10" max="10" width="9.7109375" style="687" bestFit="1" customWidth="1"/>
    <col min="11" max="11" width="14.28125" style="687" customWidth="1"/>
    <col min="12" max="12" width="12.28125" style="687" customWidth="1"/>
    <col min="13" max="13" width="15.28125" style="0" customWidth="1"/>
  </cols>
  <sheetData>
    <row r="2" ht="15">
      <c r="D2" s="686" t="s">
        <v>574</v>
      </c>
    </row>
    <row r="4" ht="15.75" thickBot="1">
      <c r="B4" s="728" t="s">
        <v>600</v>
      </c>
    </row>
    <row r="5" spans="2:9" ht="15.75" thickBot="1">
      <c r="B5" s="831" t="s">
        <v>575</v>
      </c>
      <c r="C5" s="833" t="s">
        <v>576</v>
      </c>
      <c r="D5" s="835" t="s">
        <v>578</v>
      </c>
      <c r="E5" s="836"/>
      <c r="F5" s="836"/>
      <c r="G5" s="836"/>
      <c r="H5" s="836"/>
      <c r="I5" s="837"/>
    </row>
    <row r="6" spans="2:9" ht="25.5" thickBot="1">
      <c r="B6" s="832"/>
      <c r="C6" s="834"/>
      <c r="D6" s="726" t="s">
        <v>577</v>
      </c>
      <c r="E6" s="727" t="s">
        <v>226</v>
      </c>
      <c r="F6" s="727" t="s">
        <v>579</v>
      </c>
      <c r="G6" s="727" t="s">
        <v>580</v>
      </c>
      <c r="H6" s="727" t="s">
        <v>205</v>
      </c>
      <c r="I6" s="727" t="s">
        <v>581</v>
      </c>
    </row>
    <row r="7" spans="2:9" ht="15">
      <c r="B7" s="720" t="s">
        <v>583</v>
      </c>
      <c r="C7" s="710">
        <f>'أ. إعداد ميزانية المخرجات'!F41</f>
        <v>9204025</v>
      </c>
      <c r="D7" s="715">
        <f>'أ. إعداد ميزانية المخرجات'!G41</f>
        <v>8000</v>
      </c>
      <c r="E7" s="715">
        <f>'أ. إعداد ميزانية المخرجات'!H41</f>
        <v>450000</v>
      </c>
      <c r="F7" s="715">
        <f>'أ. إعداد ميزانية المخرجات'!I41</f>
        <v>0</v>
      </c>
      <c r="G7" s="715">
        <f>'أ. إعداد ميزانية المخرجات'!J41</f>
        <v>300000</v>
      </c>
      <c r="H7" s="715">
        <f>'أ. إعداد ميزانية المخرجات'!K41</f>
        <v>0</v>
      </c>
      <c r="I7" s="716">
        <f>'أ. إعداد ميزانية المخرجات'!L41</f>
        <v>8446025</v>
      </c>
    </row>
    <row r="8" spans="2:9" ht="15">
      <c r="B8" s="721" t="s">
        <v>582</v>
      </c>
      <c r="C8" s="710">
        <f>'أ. إعداد ميزانية المخرجات'!F63</f>
        <v>789330</v>
      </c>
      <c r="D8" s="710">
        <f>'أ. إعداد ميزانية المخرجات'!G63</f>
        <v>7500</v>
      </c>
      <c r="E8" s="710">
        <f>'أ. إعداد ميزانية المخرجات'!H63</f>
        <v>0</v>
      </c>
      <c r="F8" s="710">
        <f>'أ. إعداد ميزانية المخرجات'!I63</f>
        <v>0</v>
      </c>
      <c r="G8" s="710">
        <f>'أ. إعداد ميزانية المخرجات'!J63</f>
        <v>0</v>
      </c>
      <c r="H8" s="710">
        <f>'أ. إعداد ميزانية المخرجات'!K63</f>
        <v>0</v>
      </c>
      <c r="I8" s="712">
        <f>'أ. إعداد ميزانية المخرجات'!L63</f>
        <v>781830</v>
      </c>
    </row>
    <row r="9" spans="2:9" ht="15">
      <c r="B9" s="721" t="s">
        <v>584</v>
      </c>
      <c r="C9" s="710">
        <f>'أ. إعداد ميزانية المخرجات'!F84</f>
        <v>931375.4</v>
      </c>
      <c r="D9" s="710">
        <f>'أ. إعداد ميزانية المخرجات'!G84</f>
        <v>80645.40000000001</v>
      </c>
      <c r="E9" s="710">
        <f>'أ. إعداد ميزانية المخرجات'!H84</f>
        <v>0</v>
      </c>
      <c r="F9" s="710">
        <f>'أ. إعداد ميزانية المخرجات'!I84</f>
        <v>0</v>
      </c>
      <c r="G9" s="710">
        <f>'أ. إعداد ميزانية المخرجات'!J84</f>
        <v>72900</v>
      </c>
      <c r="H9" s="710">
        <f>'أ. إعداد ميزانية المخرجات'!K84</f>
        <v>0</v>
      </c>
      <c r="I9" s="712">
        <f>'أ. إعداد ميزانية المخرجات'!L84</f>
        <v>777830</v>
      </c>
    </row>
    <row r="10" spans="2:9" ht="15">
      <c r="B10" s="721" t="s">
        <v>585</v>
      </c>
      <c r="C10" s="710">
        <f>'أ. إعداد ميزانية المخرجات'!F96</f>
        <v>3186525</v>
      </c>
      <c r="D10" s="710">
        <f>'أ. إعداد ميزانية المخرجات'!G96</f>
        <v>70000</v>
      </c>
      <c r="E10" s="710">
        <f>'أ. إعداد ميزانية المخرجات'!H96</f>
        <v>1000000</v>
      </c>
      <c r="F10" s="710">
        <f>'أ. إعداد ميزانية المخرجات'!I96</f>
        <v>315000</v>
      </c>
      <c r="G10" s="710">
        <f>'أ. إعداد ميزانية المخرجات'!J96</f>
        <v>0</v>
      </c>
      <c r="H10" s="710">
        <f>'أ. إعداد ميزانية المخرجات'!K96</f>
        <v>0</v>
      </c>
      <c r="I10" s="712">
        <f>'أ. إعداد ميزانية المخرجات'!L96</f>
        <v>1801525</v>
      </c>
    </row>
    <row r="11" spans="2:9" ht="15">
      <c r="B11" s="721" t="s">
        <v>586</v>
      </c>
      <c r="C11" s="710">
        <f>'أ. إعداد ميزانية المخرجات'!F103</f>
        <v>33143170</v>
      </c>
      <c r="D11" s="710">
        <f>'أ. إعداد ميزانية المخرجات'!G103</f>
        <v>13703370</v>
      </c>
      <c r="E11" s="710">
        <f>'أ. إعداد ميزانية المخرجات'!H103</f>
        <v>0</v>
      </c>
      <c r="F11" s="710">
        <f>'أ. إعداد ميزانية المخرجات'!I103</f>
        <v>0</v>
      </c>
      <c r="G11" s="710">
        <f>'أ. إعداد ميزانية المخرجات'!J103</f>
        <v>15485722</v>
      </c>
      <c r="H11" s="710">
        <f>'أ. إعداد ميزانية المخرجات'!K103</f>
        <v>916078</v>
      </c>
      <c r="I11" s="712">
        <f>'أ. إعداد ميزانية المخرجات'!L103</f>
        <v>3038000</v>
      </c>
    </row>
    <row r="12" spans="2:9" ht="15">
      <c r="B12" s="721" t="s">
        <v>587</v>
      </c>
      <c r="C12" s="710">
        <f>'أ. إعداد ميزانية المخرجات'!F145</f>
        <v>3601931</v>
      </c>
      <c r="D12" s="710">
        <f>'أ. إعداد ميزانية المخرجات'!G145</f>
        <v>567106.515</v>
      </c>
      <c r="E12" s="710">
        <f>'أ. إعداد ميزانية المخرجات'!H145</f>
        <v>1372024.25</v>
      </c>
      <c r="F12" s="710">
        <f>'أ. إعداد ميزانية المخرجات'!I145</f>
        <v>0</v>
      </c>
      <c r="G12" s="710">
        <f>'أ. إعداد ميزانية المخرجات'!J145</f>
        <v>348000</v>
      </c>
      <c r="H12" s="710">
        <f>'أ. إعداد ميزانية المخرجات'!K145</f>
        <v>0</v>
      </c>
      <c r="I12" s="712">
        <f>'أ. إعداد ميزانية المخرجات'!L145</f>
        <v>1314800.235</v>
      </c>
    </row>
    <row r="13" spans="2:9" ht="15">
      <c r="B13" s="721" t="s">
        <v>588</v>
      </c>
      <c r="C13" s="710">
        <f>'أ. إعداد ميزانية المخرجات'!F151</f>
        <v>810000</v>
      </c>
      <c r="D13" s="710">
        <f>'أ. إعداد ميزانية المخرجات'!G151</f>
        <v>85000</v>
      </c>
      <c r="E13" s="710">
        <f>'أ. إعداد ميزانية المخرجات'!H151</f>
        <v>0</v>
      </c>
      <c r="F13" s="710">
        <f>'أ. إعداد ميزانية المخرجات'!I151</f>
        <v>0</v>
      </c>
      <c r="G13" s="710">
        <f>'أ. إعداد ميزانية المخرجات'!J151</f>
        <v>0</v>
      </c>
      <c r="H13" s="710">
        <f>'أ. إعداد ميزانية المخرجات'!K151</f>
        <v>0</v>
      </c>
      <c r="I13" s="712">
        <f>'أ. إعداد ميزانية المخرجات'!L151</f>
        <v>725000</v>
      </c>
    </row>
    <row r="14" spans="2:9" ht="15">
      <c r="B14" s="721" t="s">
        <v>589</v>
      </c>
      <c r="C14" s="710">
        <f>'أ. إعداد ميزانية المخرجات'!F165</f>
        <v>10970077</v>
      </c>
      <c r="D14" s="710">
        <f>'أ. إعداد ميزانية المخرجات'!G165</f>
        <v>2322361.4861999997</v>
      </c>
      <c r="E14" s="710">
        <f>'أ. إعداد ميزانية المخرجات'!H165</f>
        <v>1272242</v>
      </c>
      <c r="F14" s="710">
        <f>'أ. إعداد ميزانية المخرجات'!I165</f>
        <v>0</v>
      </c>
      <c r="G14" s="710">
        <f>'أ. إعداد ميزانية المخرجات'!J165</f>
        <v>1583750</v>
      </c>
      <c r="H14" s="710">
        <f>'أ. إعداد ميزانية المخرجات'!K165</f>
        <v>0</v>
      </c>
      <c r="I14" s="712">
        <f>'أ. إعداد ميزانية المخرجات'!L165</f>
        <v>5791723.5138</v>
      </c>
    </row>
    <row r="15" spans="2:9" ht="15">
      <c r="B15" s="721" t="s">
        <v>590</v>
      </c>
      <c r="C15" s="710">
        <f>'أ. إعداد ميزانية المخرجات'!F172</f>
        <v>13708081</v>
      </c>
      <c r="D15" s="710">
        <f>'أ. إعداد ميزانية المخرجات'!G172</f>
        <v>1974175</v>
      </c>
      <c r="E15" s="710">
        <f>'أ. إعداد ميزانية المخرجات'!H172</f>
        <v>0</v>
      </c>
      <c r="F15" s="710">
        <f>'أ. إعداد ميزانية المخرجات'!I172</f>
        <v>0</v>
      </c>
      <c r="G15" s="710">
        <f>'أ. إعداد ميزانية المخرجات'!J172</f>
        <v>262906</v>
      </c>
      <c r="H15" s="710">
        <f>'أ. إعداد ميزانية المخرجات'!K172</f>
        <v>0</v>
      </c>
      <c r="I15" s="712">
        <f>'أ. إعداد ميزانية المخرجات'!L172</f>
        <v>11471000</v>
      </c>
    </row>
    <row r="16" spans="2:9" ht="15">
      <c r="B16" s="721" t="s">
        <v>591</v>
      </c>
      <c r="C16" s="710">
        <f>'أ. إعداد ميزانية المخرجات'!F178</f>
        <v>2700000</v>
      </c>
      <c r="D16" s="710">
        <f>'أ. إعداد ميزانية المخرجات'!G178</f>
        <v>0</v>
      </c>
      <c r="E16" s="710">
        <f>'أ. إعداد ميزانية المخرجات'!H178</f>
        <v>700000</v>
      </c>
      <c r="F16" s="710">
        <f>'أ. إعداد ميزانية المخرجات'!I178</f>
        <v>0</v>
      </c>
      <c r="G16" s="710">
        <f>'أ. إعداد ميزانية المخرجات'!J178</f>
        <v>0</v>
      </c>
      <c r="H16" s="710">
        <f>'أ. إعداد ميزانية المخرجات'!K178</f>
        <v>0</v>
      </c>
      <c r="I16" s="712">
        <f>'أ. إعداد ميزانية المخرجات'!L178</f>
        <v>2000000</v>
      </c>
    </row>
    <row r="17" spans="2:9" ht="15.75" thickBot="1">
      <c r="B17" s="722" t="s">
        <v>592</v>
      </c>
      <c r="C17" s="717">
        <f>'أ. إعداد ميزانية المخرجات'!F183</f>
        <v>600000</v>
      </c>
      <c r="D17" s="717">
        <f>'أ. إعداد ميزانية المخرجات'!G183</f>
        <v>0</v>
      </c>
      <c r="E17" s="717">
        <f>'أ. إعداد ميزانية المخرجات'!H183</f>
        <v>600000</v>
      </c>
      <c r="F17" s="717">
        <f>'أ. إعداد ميزانية المخرجات'!I183</f>
        <v>0</v>
      </c>
      <c r="G17" s="717">
        <f>'أ. إعداد ميزانية المخرجات'!J183</f>
        <v>0</v>
      </c>
      <c r="H17" s="717">
        <f>'أ. إعداد ميزانية المخرجات'!K183</f>
        <v>0</v>
      </c>
      <c r="I17" s="718">
        <f>'أ. إعداد ميزانية المخرجات'!L183</f>
        <v>0</v>
      </c>
    </row>
    <row r="18" spans="2:9" ht="15.75" thickBot="1">
      <c r="B18" s="723" t="s">
        <v>1</v>
      </c>
      <c r="C18" s="724">
        <f>SUM(C7:C17)</f>
        <v>79644514.4</v>
      </c>
      <c r="D18" s="724">
        <f aca="true" t="shared" si="0" ref="D18:I18">SUM(D7:D17)</f>
        <v>18818158.4012</v>
      </c>
      <c r="E18" s="724">
        <f t="shared" si="0"/>
        <v>5394266.25</v>
      </c>
      <c r="F18" s="724">
        <f t="shared" si="0"/>
        <v>315000</v>
      </c>
      <c r="G18" s="724">
        <f t="shared" si="0"/>
        <v>18053278</v>
      </c>
      <c r="H18" s="724">
        <f t="shared" si="0"/>
        <v>916078</v>
      </c>
      <c r="I18" s="725">
        <f t="shared" si="0"/>
        <v>36147733.748799995</v>
      </c>
    </row>
    <row r="21" ht="15.75" thickBot="1">
      <c r="B21" s="728" t="s">
        <v>599</v>
      </c>
    </row>
    <row r="22" spans="2:9" ht="15" customHeight="1" thickBot="1">
      <c r="B22" s="838" t="s">
        <v>619</v>
      </c>
      <c r="C22" s="840" t="s">
        <v>620</v>
      </c>
      <c r="D22" s="842" t="s">
        <v>621</v>
      </c>
      <c r="E22" s="843"/>
      <c r="F22" s="843"/>
      <c r="G22" s="843"/>
      <c r="H22" s="843"/>
      <c r="I22" s="844"/>
    </row>
    <row r="23" spans="2:9" ht="25.5" thickBot="1">
      <c r="B23" s="839"/>
      <c r="C23" s="841"/>
      <c r="D23" s="729" t="s">
        <v>622</v>
      </c>
      <c r="E23" s="729" t="s">
        <v>623</v>
      </c>
      <c r="F23" s="729" t="s">
        <v>624</v>
      </c>
      <c r="G23" s="729" t="s">
        <v>625</v>
      </c>
      <c r="H23" s="729" t="s">
        <v>626</v>
      </c>
      <c r="I23" s="729" t="s">
        <v>627</v>
      </c>
    </row>
    <row r="24" spans="2:9" ht="15">
      <c r="B24" s="688" t="s">
        <v>597</v>
      </c>
      <c r="C24" s="689">
        <f>'أ. إعداد ميزانية المخرجات'!E187</f>
        <v>5819425</v>
      </c>
      <c r="D24" s="689">
        <f>'أ. إعداد ميزانية المخرجات'!F187</f>
        <v>405000</v>
      </c>
      <c r="E24" s="689">
        <f>'أ. إعداد ميزانية المخرجات'!G187</f>
        <v>1200000</v>
      </c>
      <c r="F24" s="689">
        <f>'أ. إعداد ميزانية المخرجات'!H187</f>
        <v>50000</v>
      </c>
      <c r="G24" s="689">
        <f>'أ. إعداد ميزانية المخرجات'!I187</f>
        <v>348000</v>
      </c>
      <c r="H24" s="689">
        <f>'أ. إعداد ميزانية المخرجات'!J187</f>
        <v>0</v>
      </c>
      <c r="I24" s="690">
        <f>'أ. إعداد ميزانية المخرجات'!K187</f>
        <v>3816425</v>
      </c>
    </row>
    <row r="25" spans="2:9" ht="15">
      <c r="B25" s="691" t="s">
        <v>593</v>
      </c>
      <c r="C25" s="692">
        <f>'أ. إعداد ميزانية المخرجات'!E188</f>
        <v>989131</v>
      </c>
      <c r="D25" s="692">
        <f>'أ. إعداد ميزانية المخرجات'!F188</f>
        <v>317106.515</v>
      </c>
      <c r="E25" s="692">
        <f>'أ. إعداد ميزانية المخرجات'!G188</f>
        <v>672024.25</v>
      </c>
      <c r="F25" s="692">
        <f>'أ. إعداد ميزانية المخرجات'!H188</f>
        <v>0</v>
      </c>
      <c r="G25" s="692">
        <f>'أ. إعداد ميزانية المخرجات'!I188</f>
        <v>0</v>
      </c>
      <c r="H25" s="692">
        <f>'أ. إعداد ميزانية المخرجات'!J188</f>
        <v>0</v>
      </c>
      <c r="I25" s="693">
        <f>'أ. إعداد ميزانية المخرجات'!K188</f>
        <v>0.2349999999796637</v>
      </c>
    </row>
    <row r="26" spans="2:9" ht="15">
      <c r="B26" s="809" t="s">
        <v>1212</v>
      </c>
      <c r="C26" s="692">
        <f>'أ. إعداد ميزانية المخرجات'!E189</f>
        <v>10852580.4</v>
      </c>
      <c r="D26" s="692">
        <f>'أ. إعداد ميزانية المخرجات'!F189</f>
        <v>96145.40000000001</v>
      </c>
      <c r="E26" s="692">
        <f>'أ. إعداد ميزانية المخرجات'!G189</f>
        <v>450000</v>
      </c>
      <c r="F26" s="692">
        <f>'أ. إعداد ميزانية المخرجات'!H189</f>
        <v>0</v>
      </c>
      <c r="G26" s="692">
        <f>'أ. إعداد ميزانية المخرجات'!I189</f>
        <v>372900</v>
      </c>
      <c r="H26" s="692">
        <f>'أ. إعداد ميزانية المخرجات'!J189</f>
        <v>0</v>
      </c>
      <c r="I26" s="693">
        <f>'أ. إعداد ميزانية المخرجات'!K189</f>
        <v>9933535</v>
      </c>
    </row>
    <row r="27" spans="2:9" ht="15">
      <c r="B27" s="691" t="s">
        <v>594</v>
      </c>
      <c r="C27" s="692">
        <f>'أ. إعداد ميزانية المخرجات'!E190</f>
        <v>50483328</v>
      </c>
      <c r="D27" s="692">
        <f>'أ. إعداد ميزانية المخرجات'!F190</f>
        <v>13699906.4862</v>
      </c>
      <c r="E27" s="692">
        <f>'أ. إعداد ميزانية المخرجات'!G190</f>
        <v>1272242</v>
      </c>
      <c r="F27" s="692">
        <f>'أ. إعداد ميزانية المخرجات'!H190</f>
        <v>0</v>
      </c>
      <c r="G27" s="692">
        <f>'أ. إعداد ميزانية المخرجات'!I190</f>
        <v>17332378</v>
      </c>
      <c r="H27" s="692">
        <f>'أ. إعداد ميزانية المخرجات'!J190</f>
        <v>916078</v>
      </c>
      <c r="I27" s="693">
        <f>'أ. إعداد ميزانية المخرجات'!K190</f>
        <v>17262723.5138</v>
      </c>
    </row>
    <row r="28" spans="2:9" ht="15">
      <c r="B28" s="691" t="s">
        <v>595</v>
      </c>
      <c r="C28" s="692">
        <f>'أ. إعداد ميزانية المخرجات'!E191</f>
        <v>8127900</v>
      </c>
      <c r="D28" s="692">
        <f>'أ. إعداد ميزانية المخرجات'!F191</f>
        <v>4300000</v>
      </c>
      <c r="E28" s="692">
        <f>'أ. إعداد ميزانية المخرجات'!G191</f>
        <v>500000</v>
      </c>
      <c r="F28" s="692">
        <f>'أ. إعداد ميزانية المخرجات'!H191</f>
        <v>265000</v>
      </c>
      <c r="G28" s="692">
        <f>'أ. إعداد ميزانية المخرجات'!I191</f>
        <v>0</v>
      </c>
      <c r="H28" s="692">
        <f>'أ. إعداد ميزانية المخرجات'!J191</f>
        <v>0</v>
      </c>
      <c r="I28" s="693">
        <f>'أ. إعداد ميزانية المخرجات'!K191</f>
        <v>3062900</v>
      </c>
    </row>
    <row r="29" spans="2:9" ht="15">
      <c r="B29" s="691" t="s">
        <v>596</v>
      </c>
      <c r="C29" s="692">
        <f>'أ. إعداد ميزانية المخرجات'!E192</f>
        <v>3372150</v>
      </c>
      <c r="D29" s="692">
        <f>'أ. إعداد ميزانية المخرجات'!F192</f>
        <v>0</v>
      </c>
      <c r="E29" s="692">
        <f>'أ. إعداد ميزانية المخرجات'!G192</f>
        <v>1300000</v>
      </c>
      <c r="F29" s="692">
        <f>'أ. إعداد ميزانية المخرجات'!H192</f>
        <v>0</v>
      </c>
      <c r="G29" s="692">
        <f>'أ. إعداد ميزانية المخرجات'!I192</f>
        <v>0</v>
      </c>
      <c r="H29" s="692">
        <f>'أ. إعداد ميزانية المخرجات'!J192</f>
        <v>0</v>
      </c>
      <c r="I29" s="693">
        <f>'أ. إعداد ميزانية المخرجات'!K192</f>
        <v>2072150</v>
      </c>
    </row>
    <row r="30" spans="2:9" ht="15.75" thickBot="1">
      <c r="B30" s="694"/>
      <c r="C30" s="695">
        <f aca="true" t="shared" si="1" ref="C30:I30">SUM(C24:C29)</f>
        <v>79644514.4</v>
      </c>
      <c r="D30" s="695">
        <f t="shared" si="1"/>
        <v>18818158.4012</v>
      </c>
      <c r="E30" s="695">
        <f t="shared" si="1"/>
        <v>5394266.25</v>
      </c>
      <c r="F30" s="695">
        <f t="shared" si="1"/>
        <v>315000</v>
      </c>
      <c r="G30" s="695">
        <f t="shared" si="1"/>
        <v>18053278</v>
      </c>
      <c r="H30" s="695">
        <f t="shared" si="1"/>
        <v>916078</v>
      </c>
      <c r="I30" s="696">
        <f t="shared" si="1"/>
        <v>36147733.748799995</v>
      </c>
    </row>
    <row r="31" ht="15">
      <c r="C31" s="697"/>
    </row>
    <row r="33" ht="15.75" thickBot="1">
      <c r="B33" s="733" t="s">
        <v>598</v>
      </c>
    </row>
    <row r="34" spans="2:12" ht="15.75" thickBot="1">
      <c r="B34" s="698"/>
      <c r="C34" s="826" t="s">
        <v>603</v>
      </c>
      <c r="D34" s="827"/>
      <c r="E34" s="827"/>
      <c r="F34" s="827"/>
      <c r="G34" s="827"/>
      <c r="H34" s="827"/>
      <c r="I34" s="827"/>
      <c r="J34" s="827"/>
      <c r="K34" s="828"/>
      <c r="L34" s="829" t="s">
        <v>628</v>
      </c>
    </row>
    <row r="35" spans="2:12" ht="36.75" customHeight="1" thickBot="1">
      <c r="B35" s="699"/>
      <c r="C35" s="700" t="s">
        <v>601</v>
      </c>
      <c r="D35" s="700" t="s">
        <v>235</v>
      </c>
      <c r="E35" s="700" t="s">
        <v>602</v>
      </c>
      <c r="F35" s="700" t="s">
        <v>379</v>
      </c>
      <c r="G35" s="700" t="s">
        <v>380</v>
      </c>
      <c r="H35" s="700" t="s">
        <v>604</v>
      </c>
      <c r="I35" s="700" t="s">
        <v>251</v>
      </c>
      <c r="J35" s="700" t="s">
        <v>254</v>
      </c>
      <c r="K35" s="700" t="s">
        <v>605</v>
      </c>
      <c r="L35" s="830"/>
    </row>
    <row r="36" spans="2:13" ht="15">
      <c r="B36" s="701" t="s">
        <v>629</v>
      </c>
      <c r="C36" s="702">
        <f>'الخدمة المدنية وإدارة الموارد ا'!J44</f>
        <v>0</v>
      </c>
      <c r="D36" s="702">
        <f>'الخدمة المدنية وإدارة الموارد ا'!S44</f>
        <v>267375</v>
      </c>
      <c r="E36" s="702">
        <f>'الخدمة المدنية وإدارة الموارد ا'!V44+'الخدمة المدنية وإدارة الموارد ا'!Y44</f>
        <v>4035050</v>
      </c>
      <c r="F36" s="702">
        <f>'الخدمة المدنية وإدارة الموارد ا'!AB44</f>
        <v>20000</v>
      </c>
      <c r="G36" s="702">
        <f>'الخدمة المدنية وإدارة الموارد ا'!AC44</f>
        <v>0</v>
      </c>
      <c r="H36" s="702">
        <f>'الخدمة المدنية وإدارة الموارد ا'!AD44</f>
        <v>613000</v>
      </c>
      <c r="I36" s="702">
        <f>'الخدمة المدنية وإدارة الموارد ا'!AG44</f>
        <v>200000</v>
      </c>
      <c r="J36" s="702">
        <f>'الخدمة المدنية وإدارة الموارد ا'!AJ44</f>
        <v>0</v>
      </c>
      <c r="K36" s="702">
        <f>'الخدمة المدنية وإدارة الموارد ا'!AK44</f>
        <v>684000</v>
      </c>
      <c r="L36" s="730">
        <f aca="true" t="shared" si="2" ref="L36:L41">SUM(C36:K36)</f>
        <v>5819425</v>
      </c>
      <c r="M36" s="685">
        <f>L36-C24</f>
        <v>0</v>
      </c>
    </row>
    <row r="37" spans="2:13" ht="15">
      <c r="B37" s="703" t="s">
        <v>630</v>
      </c>
      <c r="C37" s="704">
        <f>ASPA!K45</f>
        <v>72000</v>
      </c>
      <c r="D37" s="704">
        <f>ASPA!T45</f>
        <v>501435</v>
      </c>
      <c r="E37" s="704">
        <f>ASPA!W45+ASPA!Z45</f>
        <v>140217</v>
      </c>
      <c r="F37" s="704">
        <f>ASPA!AC45</f>
        <v>4000</v>
      </c>
      <c r="G37" s="704">
        <f>ASPA!AD45</f>
        <v>70000</v>
      </c>
      <c r="H37" s="704">
        <f>ASPA!AE45</f>
        <v>70000</v>
      </c>
      <c r="I37" s="704">
        <f>ASPA!AH45</f>
        <v>39000</v>
      </c>
      <c r="J37" s="704">
        <f>ASPA!AK45</f>
        <v>16000</v>
      </c>
      <c r="K37" s="704">
        <f>ASPA!AL45</f>
        <v>76479</v>
      </c>
      <c r="L37" s="731">
        <f t="shared" si="2"/>
        <v>989131</v>
      </c>
      <c r="M37" s="685">
        <f aca="true" t="shared" si="3" ref="M37:M42">L37-C25</f>
        <v>0</v>
      </c>
    </row>
    <row r="38" spans="2:13" ht="15">
      <c r="B38" s="808" t="s">
        <v>1212</v>
      </c>
      <c r="C38" s="704">
        <f>'السياسة والمتابعة والتشريع'!L88</f>
        <v>259200</v>
      </c>
      <c r="D38" s="704">
        <f>'السياسة والمتابعة والتشريع'!U88</f>
        <v>883515</v>
      </c>
      <c r="E38" s="704">
        <f>'السياسة والمتابعة والتشريع'!X88+'السياسة والمتابعة والتشريع'!AA88</f>
        <v>9077468.257142857</v>
      </c>
      <c r="F38" s="704">
        <f>'السياسة والمتابعة والتشريع'!AD88</f>
        <v>179500</v>
      </c>
      <c r="G38" s="704">
        <f>'السياسة والمتابعة والتشريع'!AE88</f>
        <v>0</v>
      </c>
      <c r="H38" s="704">
        <f>'السياسة والمتابعة والتشريع'!AF88</f>
        <v>250000</v>
      </c>
      <c r="I38" s="704">
        <f>'السياسة والمتابعة والتشريع'!AI88</f>
        <v>0</v>
      </c>
      <c r="J38" s="704">
        <f>'السياسة والمتابعة والتشريع'!AL88</f>
        <v>0</v>
      </c>
      <c r="K38" s="704">
        <f>'السياسة والمتابعة والتشريع'!AM88</f>
        <v>202897.14285714284</v>
      </c>
      <c r="L38" s="731">
        <f t="shared" si="2"/>
        <v>10852580.4</v>
      </c>
      <c r="M38" s="685">
        <f t="shared" si="3"/>
        <v>0</v>
      </c>
    </row>
    <row r="39" spans="2:13" ht="15">
      <c r="B39" s="703" t="s">
        <v>631</v>
      </c>
      <c r="C39" s="704">
        <f>الابتكار!K36</f>
        <v>3435720</v>
      </c>
      <c r="D39" s="704">
        <f>الابتكار!T36</f>
        <v>200256</v>
      </c>
      <c r="E39" s="704">
        <f>الابتكار!Z36+الابتكار!W36</f>
        <v>10534246</v>
      </c>
      <c r="F39" s="704">
        <f>الابتكار!AC36</f>
        <v>386728</v>
      </c>
      <c r="G39" s="704">
        <f>الابتكار!AD36</f>
        <v>18282740</v>
      </c>
      <c r="H39" s="704">
        <f>الابتكار!AE36</f>
        <v>8628015</v>
      </c>
      <c r="I39" s="704">
        <f>الابتكار!AH36</f>
        <v>5172639</v>
      </c>
      <c r="J39" s="704">
        <f>الابتكار!AK36</f>
        <v>50640</v>
      </c>
      <c r="K39" s="704">
        <f>الابتكار!AL36</f>
        <v>3792344</v>
      </c>
      <c r="L39" s="731">
        <f t="shared" si="2"/>
        <v>50483328</v>
      </c>
      <c r="M39" s="685">
        <f t="shared" si="3"/>
        <v>0</v>
      </c>
    </row>
    <row r="40" spans="2:13" ht="15">
      <c r="B40" s="703" t="s">
        <v>632</v>
      </c>
      <c r="C40" s="704">
        <f>'اللامركزية '!J16</f>
        <v>0</v>
      </c>
      <c r="D40" s="704">
        <f>'اللامركزية '!S16</f>
        <v>238250</v>
      </c>
      <c r="E40" s="704">
        <f>'اللامركزية '!V16+'اللامركزية '!Y16</f>
        <v>612650</v>
      </c>
      <c r="F40" s="704">
        <f>'اللامركزية '!AB16</f>
        <v>0</v>
      </c>
      <c r="G40" s="704">
        <f>'اللامركزية '!AC16</f>
        <v>4830000</v>
      </c>
      <c r="H40" s="704">
        <f>'اللامركزية '!AD16</f>
        <v>1542000</v>
      </c>
      <c r="I40" s="704">
        <f>'اللامركزية '!AG16</f>
        <v>905000</v>
      </c>
      <c r="J40" s="704">
        <f>'اللامركزية '!AJ16</f>
        <v>0</v>
      </c>
      <c r="K40" s="704">
        <f>'اللامركزية '!AK16</f>
        <v>0</v>
      </c>
      <c r="L40" s="731">
        <f t="shared" si="2"/>
        <v>8127900</v>
      </c>
      <c r="M40" s="685">
        <f t="shared" si="3"/>
        <v>0</v>
      </c>
    </row>
    <row r="41" spans="2:13" ht="15">
      <c r="B41" s="703" t="s">
        <v>633</v>
      </c>
      <c r="C41" s="704">
        <f>'الشفافية ومكافحة الفساد '!J26</f>
        <v>0</v>
      </c>
      <c r="D41" s="704">
        <f>'الشفافية ومكافحة الفساد '!S26</f>
        <v>4450</v>
      </c>
      <c r="E41" s="704">
        <f>'الشفافية ومكافحة الفساد '!V26+'الشفافية ومكافحة الفساد '!Y26</f>
        <v>485750</v>
      </c>
      <c r="F41" s="704">
        <f>'الشفافية ومكافحة الفساد '!AB26</f>
        <v>0</v>
      </c>
      <c r="G41" s="704">
        <f>'الشفافية ومكافحة الفساد '!AC26</f>
        <v>0</v>
      </c>
      <c r="H41" s="704">
        <f>'الشفافية ومكافحة الفساد '!AD26</f>
        <v>674000</v>
      </c>
      <c r="I41" s="704">
        <f>'الشفافية ومكافحة الفساد '!AG26</f>
        <v>200000</v>
      </c>
      <c r="J41" s="704">
        <f>'الشفافية ومكافحة الفساد '!AJ26</f>
        <v>0</v>
      </c>
      <c r="K41" s="704">
        <f>'الشفافية ومكافحة الفساد '!AK26</f>
        <v>2007950</v>
      </c>
      <c r="L41" s="731">
        <f t="shared" si="2"/>
        <v>3372150</v>
      </c>
      <c r="M41" s="685">
        <f t="shared" si="3"/>
        <v>0</v>
      </c>
    </row>
    <row r="42" spans="2:13" ht="15.75" thickBot="1">
      <c r="B42" s="705"/>
      <c r="C42" s="706">
        <f aca="true" t="shared" si="4" ref="C42:L42">SUM(C36:C41)</f>
        <v>3766920</v>
      </c>
      <c r="D42" s="706">
        <f t="shared" si="4"/>
        <v>2095281</v>
      </c>
      <c r="E42" s="706">
        <f t="shared" si="4"/>
        <v>24885381.257142857</v>
      </c>
      <c r="F42" s="706">
        <f t="shared" si="4"/>
        <v>590228</v>
      </c>
      <c r="G42" s="706">
        <f t="shared" si="4"/>
        <v>23182740</v>
      </c>
      <c r="H42" s="706">
        <f t="shared" si="4"/>
        <v>11777015</v>
      </c>
      <c r="I42" s="706">
        <f t="shared" si="4"/>
        <v>6516639</v>
      </c>
      <c r="J42" s="706">
        <f t="shared" si="4"/>
        <v>66640</v>
      </c>
      <c r="K42" s="706">
        <f t="shared" si="4"/>
        <v>6763670.142857143</v>
      </c>
      <c r="L42" s="732">
        <f t="shared" si="4"/>
        <v>79644514.4</v>
      </c>
      <c r="M42" s="685">
        <f t="shared" si="3"/>
        <v>0</v>
      </c>
    </row>
    <row r="43" spans="2:13" ht="15.75" thickBot="1">
      <c r="B43" s="826" t="s">
        <v>606</v>
      </c>
      <c r="C43" s="827"/>
      <c r="D43" s="827"/>
      <c r="E43" s="827"/>
      <c r="F43" s="827"/>
      <c r="G43" s="827"/>
      <c r="H43" s="827"/>
      <c r="I43" s="827"/>
      <c r="J43" s="827"/>
      <c r="K43" s="827"/>
      <c r="L43" s="828"/>
      <c r="M43" s="685"/>
    </row>
    <row r="44" spans="2:12" ht="15">
      <c r="B44" s="701" t="s">
        <v>634</v>
      </c>
      <c r="C44" s="707">
        <f>C36/$L$36</f>
        <v>0</v>
      </c>
      <c r="D44" s="707">
        <f aca="true" t="shared" si="5" ref="D44:K44">D36/$L$36</f>
        <v>0.045945260914952935</v>
      </c>
      <c r="E44" s="707">
        <f t="shared" si="5"/>
        <v>0.6933760637863706</v>
      </c>
      <c r="F44" s="707">
        <f t="shared" si="5"/>
        <v>0.003436765659837527</v>
      </c>
      <c r="G44" s="707">
        <f t="shared" si="5"/>
        <v>0</v>
      </c>
      <c r="H44" s="707">
        <f t="shared" si="5"/>
        <v>0.1053368674740202</v>
      </c>
      <c r="I44" s="707">
        <f t="shared" si="5"/>
        <v>0.03436765659837527</v>
      </c>
      <c r="J44" s="707">
        <f t="shared" si="5"/>
        <v>0</v>
      </c>
      <c r="K44" s="707">
        <f t="shared" si="5"/>
        <v>0.11753738556644341</v>
      </c>
      <c r="L44" s="730">
        <f aca="true" t="shared" si="6" ref="L44:L49">SUM(C44:K44)</f>
        <v>0.9999999999999999</v>
      </c>
    </row>
    <row r="45" spans="2:12" ht="15">
      <c r="B45" s="703" t="s">
        <v>635</v>
      </c>
      <c r="C45" s="708">
        <f>C37/$L$37</f>
        <v>0.07279116719625611</v>
      </c>
      <c r="D45" s="708">
        <f aca="true" t="shared" si="7" ref="D45:K45">D37/$L$37</f>
        <v>0.5069449850424261</v>
      </c>
      <c r="E45" s="708">
        <f t="shared" si="7"/>
        <v>0.14175776514940894</v>
      </c>
      <c r="F45" s="708">
        <f t="shared" si="7"/>
        <v>0.004043953733125339</v>
      </c>
      <c r="G45" s="708">
        <f t="shared" si="7"/>
        <v>0.07076919032969343</v>
      </c>
      <c r="H45" s="708">
        <f t="shared" si="7"/>
        <v>0.07076919032969343</v>
      </c>
      <c r="I45" s="708">
        <f t="shared" si="7"/>
        <v>0.03942854889797206</v>
      </c>
      <c r="J45" s="708">
        <f t="shared" si="7"/>
        <v>0.016175814932501358</v>
      </c>
      <c r="K45" s="708">
        <f t="shared" si="7"/>
        <v>0.0773193843889232</v>
      </c>
      <c r="L45" s="731">
        <f t="shared" si="6"/>
        <v>1</v>
      </c>
    </row>
    <row r="46" spans="2:12" ht="15">
      <c r="B46" s="808" t="s">
        <v>1212</v>
      </c>
      <c r="C46" s="708">
        <f>C38/$L$38</f>
        <v>0.023883720778516415</v>
      </c>
      <c r="D46" s="708">
        <f aca="true" t="shared" si="8" ref="D46:K46">D38/$L$38</f>
        <v>0.08141059245227983</v>
      </c>
      <c r="E46" s="708">
        <f t="shared" si="8"/>
        <v>0.8364340942494061</v>
      </c>
      <c r="F46" s="708">
        <f t="shared" si="8"/>
        <v>0.016539845215060557</v>
      </c>
      <c r="G46" s="708">
        <f t="shared" si="8"/>
        <v>0</v>
      </c>
      <c r="H46" s="708">
        <f t="shared" si="8"/>
        <v>0.02303599612125426</v>
      </c>
      <c r="I46" s="708">
        <f t="shared" si="8"/>
        <v>0</v>
      </c>
      <c r="J46" s="708">
        <f t="shared" si="8"/>
        <v>0</v>
      </c>
      <c r="K46" s="708">
        <f t="shared" si="8"/>
        <v>0.018695751183482854</v>
      </c>
      <c r="L46" s="731">
        <f t="shared" si="6"/>
        <v>1</v>
      </c>
    </row>
    <row r="47" spans="2:12" ht="15">
      <c r="B47" s="703" t="s">
        <v>636</v>
      </c>
      <c r="C47" s="708">
        <f>C39/$L$39</f>
        <v>0.06805652749359155</v>
      </c>
      <c r="D47" s="708">
        <f aca="true" t="shared" si="9" ref="D47:K47">D39/$L$39</f>
        <v>0.003966774932112241</v>
      </c>
      <c r="E47" s="708">
        <f t="shared" si="9"/>
        <v>0.2086678199979209</v>
      </c>
      <c r="F47" s="708">
        <f t="shared" si="9"/>
        <v>0.0076605092279177795</v>
      </c>
      <c r="G47" s="708">
        <f t="shared" si="9"/>
        <v>0.36215401647054646</v>
      </c>
      <c r="H47" s="708">
        <f t="shared" si="9"/>
        <v>0.17090820557630432</v>
      </c>
      <c r="I47" s="708">
        <f t="shared" si="9"/>
        <v>0.1024623218184031</v>
      </c>
      <c r="J47" s="708">
        <f t="shared" si="9"/>
        <v>0.0010031034404070984</v>
      </c>
      <c r="K47" s="708">
        <f t="shared" si="9"/>
        <v>0.07512072104279655</v>
      </c>
      <c r="L47" s="731">
        <f t="shared" si="6"/>
        <v>1</v>
      </c>
    </row>
    <row r="48" spans="2:12" ht="15">
      <c r="B48" s="703" t="s">
        <v>637</v>
      </c>
      <c r="C48" s="708">
        <f>C40/$L$40</f>
        <v>0</v>
      </c>
      <c r="D48" s="708">
        <f aca="true" t="shared" si="10" ref="D48:K48">D40/$L$40</f>
        <v>0.029312614574490335</v>
      </c>
      <c r="E48" s="708">
        <f t="shared" si="10"/>
        <v>0.07537617342733055</v>
      </c>
      <c r="F48" s="708">
        <f t="shared" si="10"/>
        <v>0</v>
      </c>
      <c r="G48" s="708">
        <f t="shared" si="10"/>
        <v>0.5942494371239804</v>
      </c>
      <c r="H48" s="708">
        <f t="shared" si="10"/>
        <v>0.18971690104455025</v>
      </c>
      <c r="I48" s="708">
        <f t="shared" si="10"/>
        <v>0.1113448738296485</v>
      </c>
      <c r="J48" s="708">
        <f t="shared" si="10"/>
        <v>0</v>
      </c>
      <c r="K48" s="708">
        <f t="shared" si="10"/>
        <v>0</v>
      </c>
      <c r="L48" s="731">
        <f t="shared" si="6"/>
        <v>1</v>
      </c>
    </row>
    <row r="49" spans="2:12" ht="15">
      <c r="B49" s="703" t="s">
        <v>638</v>
      </c>
      <c r="C49" s="708">
        <f>C41/$L$41</f>
        <v>0</v>
      </c>
      <c r="D49" s="708">
        <f aca="true" t="shared" si="11" ref="D49:K49">D41/$L$41</f>
        <v>0.001319632875168661</v>
      </c>
      <c r="E49" s="708">
        <f t="shared" si="11"/>
        <v>0.14404756609284877</v>
      </c>
      <c r="F49" s="708">
        <f t="shared" si="11"/>
        <v>0</v>
      </c>
      <c r="G49" s="708">
        <f t="shared" si="11"/>
        <v>0</v>
      </c>
      <c r="H49" s="708">
        <f t="shared" si="11"/>
        <v>0.19987248491318596</v>
      </c>
      <c r="I49" s="708">
        <f t="shared" si="11"/>
        <v>0.05930934270420948</v>
      </c>
      <c r="J49" s="708">
        <f t="shared" si="11"/>
        <v>0</v>
      </c>
      <c r="K49" s="708">
        <f t="shared" si="11"/>
        <v>0.5954509734145871</v>
      </c>
      <c r="L49" s="731">
        <f t="shared" si="6"/>
        <v>1</v>
      </c>
    </row>
    <row r="50" spans="2:12" ht="15">
      <c r="B50" s="709"/>
      <c r="C50" s="704">
        <f aca="true" t="shared" si="12" ref="C50:L50">SUM(C44:C49)</f>
        <v>0.16473141546836406</v>
      </c>
      <c r="D50" s="704">
        <f t="shared" si="12"/>
        <v>0.6688998607914302</v>
      </c>
      <c r="E50" s="704">
        <f t="shared" si="12"/>
        <v>2.0996594827032857</v>
      </c>
      <c r="F50" s="704">
        <f t="shared" si="12"/>
        <v>0.0316810738359412</v>
      </c>
      <c r="G50" s="704">
        <f t="shared" si="12"/>
        <v>1.0271726439242204</v>
      </c>
      <c r="H50" s="704">
        <f t="shared" si="12"/>
        <v>0.7596396454590085</v>
      </c>
      <c r="I50" s="704">
        <f t="shared" si="12"/>
        <v>0.3469127438486085</v>
      </c>
      <c r="J50" s="704">
        <f t="shared" si="12"/>
        <v>0.017178918372908455</v>
      </c>
      <c r="K50" s="704">
        <f t="shared" si="12"/>
        <v>0.8841242155962331</v>
      </c>
      <c r="L50" s="731">
        <f t="shared" si="12"/>
        <v>6</v>
      </c>
    </row>
    <row r="52" ht="15.75" thickBot="1">
      <c r="B52" s="686" t="s">
        <v>607</v>
      </c>
    </row>
    <row r="53" spans="2:3" ht="15.75" thickBot="1">
      <c r="B53" s="719"/>
      <c r="C53" s="737" t="s">
        <v>639</v>
      </c>
    </row>
    <row r="54" spans="2:3" ht="15">
      <c r="B54" s="714" t="s">
        <v>608</v>
      </c>
      <c r="C54" s="736">
        <f>D30</f>
        <v>18818158.4012</v>
      </c>
    </row>
    <row r="55" spans="2:3" ht="15">
      <c r="B55" s="711" t="s">
        <v>640</v>
      </c>
      <c r="C55" s="734">
        <f>E30</f>
        <v>5394266.25</v>
      </c>
    </row>
    <row r="56" spans="2:3" ht="15">
      <c r="B56" s="711" t="s">
        <v>525</v>
      </c>
      <c r="C56" s="734">
        <f>F30</f>
        <v>315000</v>
      </c>
    </row>
    <row r="57" spans="2:3" ht="15">
      <c r="B57" s="711" t="s">
        <v>641</v>
      </c>
      <c r="C57" s="734">
        <f>G30</f>
        <v>18053278</v>
      </c>
    </row>
    <row r="58" spans="2:3" ht="15">
      <c r="B58" s="711" t="str">
        <f>H23</f>
        <v>برنامج الأمم المتحدة للتنمية</v>
      </c>
      <c r="C58" s="734">
        <f>H30</f>
        <v>916078</v>
      </c>
    </row>
    <row r="59" spans="2:3" ht="15.75" thickBot="1">
      <c r="B59" s="713" t="s">
        <v>260</v>
      </c>
      <c r="C59" s="735">
        <f>I30</f>
        <v>36147733.748799995</v>
      </c>
    </row>
  </sheetData>
  <sheetProtection/>
  <mergeCells count="9">
    <mergeCell ref="C34:K34"/>
    <mergeCell ref="L34:L35"/>
    <mergeCell ref="B43:L43"/>
    <mergeCell ref="B5:B6"/>
    <mergeCell ref="C5:C6"/>
    <mergeCell ref="D5:I5"/>
    <mergeCell ref="B22:B23"/>
    <mergeCell ref="C22:C23"/>
    <mergeCell ref="D22:I22"/>
  </mergeCell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2:T201"/>
  <sheetViews>
    <sheetView zoomScale="160" zoomScaleNormal="160" zoomScaleSheetLayoutView="100" zoomScalePageLayoutView="70" workbookViewId="0" topLeftCell="A1">
      <selection activeCell="I7" sqref="I7"/>
    </sheetView>
  </sheetViews>
  <sheetFormatPr defaultColWidth="9.28125" defaultRowHeight="15.75" customHeight="1"/>
  <cols>
    <col min="1" max="1" width="5.00390625" style="55" customWidth="1"/>
    <col min="2" max="2" width="24.28125" style="201" customWidth="1"/>
    <col min="3" max="3" width="7.421875" style="202" customWidth="1"/>
    <col min="4" max="4" width="35.28125" style="129" customWidth="1"/>
    <col min="5" max="5" width="16.421875" style="129" customWidth="1"/>
    <col min="6" max="6" width="17.7109375" style="219" customWidth="1"/>
    <col min="7" max="7" width="17.28125" style="220" customWidth="1"/>
    <col min="8" max="8" width="13.7109375" style="220" bestFit="1" customWidth="1"/>
    <col min="9" max="9" width="14.7109375" style="220" customWidth="1"/>
    <col min="10" max="10" width="15.00390625" style="220" bestFit="1" customWidth="1"/>
    <col min="11" max="11" width="16.421875" style="220" customWidth="1"/>
    <col min="12" max="12" width="16.57421875" style="221" customWidth="1"/>
    <col min="13" max="13" width="15.57421875" style="45" hidden="1" customWidth="1"/>
    <col min="14" max="14" width="17.57421875" style="45" hidden="1" customWidth="1"/>
    <col min="15" max="15" width="14.421875" style="45" hidden="1" customWidth="1"/>
    <col min="16" max="16" width="13.7109375" style="45" hidden="1" customWidth="1"/>
    <col min="17" max="17" width="15.28125" style="45" hidden="1" customWidth="1"/>
    <col min="18" max="18" width="14.7109375" style="45" hidden="1" customWidth="1"/>
    <col min="19" max="19" width="16.28125" style="45" hidden="1" customWidth="1"/>
    <col min="20" max="16384" width="9.28125" style="45" customWidth="1"/>
  </cols>
  <sheetData>
    <row r="1" ht="11.25" customHeight="1"/>
    <row r="2" spans="1:12" ht="31.5" customHeight="1">
      <c r="A2" s="148"/>
      <c r="B2" s="876" t="s">
        <v>610</v>
      </c>
      <c r="C2" s="876"/>
      <c r="D2" s="876"/>
      <c r="E2" s="876"/>
      <c r="F2" s="876"/>
      <c r="G2" s="372"/>
      <c r="H2" s="372"/>
      <c r="I2" s="372"/>
      <c r="J2" s="372"/>
      <c r="K2" s="372"/>
      <c r="L2" s="373"/>
    </row>
    <row r="3" spans="1:12" s="149" customFormat="1" ht="15.75" customHeight="1">
      <c r="A3" s="880" t="s">
        <v>3</v>
      </c>
      <c r="B3" s="880" t="s">
        <v>521</v>
      </c>
      <c r="C3" s="880" t="s">
        <v>522</v>
      </c>
      <c r="D3" s="880"/>
      <c r="E3" s="881" t="s">
        <v>523</v>
      </c>
      <c r="F3" s="877" t="s">
        <v>524</v>
      </c>
      <c r="G3" s="884" t="s">
        <v>315</v>
      </c>
      <c r="H3" s="885"/>
      <c r="I3" s="885"/>
      <c r="J3" s="885"/>
      <c r="K3" s="885"/>
      <c r="L3" s="886"/>
    </row>
    <row r="4" spans="1:12" s="150" customFormat="1" ht="15.75" customHeight="1">
      <c r="A4" s="880"/>
      <c r="B4" s="880"/>
      <c r="C4" s="880"/>
      <c r="D4" s="880"/>
      <c r="E4" s="882"/>
      <c r="F4" s="877"/>
      <c r="G4" s="887"/>
      <c r="H4" s="888"/>
      <c r="I4" s="888"/>
      <c r="J4" s="888"/>
      <c r="K4" s="888"/>
      <c r="L4" s="889"/>
    </row>
    <row r="5" spans="1:12" s="150" customFormat="1" ht="8.25" customHeight="1">
      <c r="A5" s="880"/>
      <c r="B5" s="880"/>
      <c r="C5" s="880"/>
      <c r="D5" s="880"/>
      <c r="E5" s="882"/>
      <c r="F5" s="877"/>
      <c r="G5" s="890"/>
      <c r="H5" s="891"/>
      <c r="I5" s="891"/>
      <c r="J5" s="891"/>
      <c r="K5" s="891"/>
      <c r="L5" s="892"/>
    </row>
    <row r="6" spans="1:12" s="150" customFormat="1" ht="21" customHeight="1">
      <c r="A6" s="880"/>
      <c r="B6" s="880"/>
      <c r="C6" s="880"/>
      <c r="D6" s="880"/>
      <c r="E6" s="882"/>
      <c r="F6" s="877"/>
      <c r="G6" s="860" t="s">
        <v>259</v>
      </c>
      <c r="H6" s="683"/>
      <c r="I6" s="683"/>
      <c r="J6" s="683"/>
      <c r="K6" s="683"/>
      <c r="L6" s="879" t="s">
        <v>642</v>
      </c>
    </row>
    <row r="7" spans="1:12" s="151" customFormat="1" ht="28.5" customHeight="1">
      <c r="A7" s="880"/>
      <c r="B7" s="880"/>
      <c r="C7" s="880"/>
      <c r="D7" s="880"/>
      <c r="E7" s="883"/>
      <c r="F7" s="877"/>
      <c r="G7" s="861"/>
      <c r="H7" s="684" t="s">
        <v>206</v>
      </c>
      <c r="I7" s="684" t="s">
        <v>1245</v>
      </c>
      <c r="J7" s="684" t="s">
        <v>204</v>
      </c>
      <c r="K7" s="684" t="s">
        <v>643</v>
      </c>
      <c r="L7" s="879" t="s">
        <v>644</v>
      </c>
    </row>
    <row r="8" spans="1:12" s="152" customFormat="1" ht="24.75" customHeight="1">
      <c r="A8" s="561">
        <v>1</v>
      </c>
      <c r="B8" s="561">
        <v>2</v>
      </c>
      <c r="C8" s="561">
        <v>3</v>
      </c>
      <c r="D8" s="561">
        <v>4</v>
      </c>
      <c r="E8" s="561"/>
      <c r="F8" s="671">
        <v>5</v>
      </c>
      <c r="G8" s="561">
        <v>6</v>
      </c>
      <c r="H8" s="671">
        <v>7</v>
      </c>
      <c r="I8" s="561">
        <v>8</v>
      </c>
      <c r="J8" s="671">
        <v>9</v>
      </c>
      <c r="K8" s="561">
        <v>10</v>
      </c>
      <c r="L8" s="671">
        <v>11</v>
      </c>
    </row>
    <row r="9" spans="1:12" s="152" customFormat="1" ht="33" customHeight="1">
      <c r="A9" s="374">
        <v>1</v>
      </c>
      <c r="B9" s="867" t="s">
        <v>1171</v>
      </c>
      <c r="C9" s="867"/>
      <c r="D9" s="867"/>
      <c r="E9" s="867"/>
      <c r="F9" s="867"/>
      <c r="G9" s="867"/>
      <c r="H9" s="867"/>
      <c r="I9" s="867"/>
      <c r="J9" s="867"/>
      <c r="K9" s="867"/>
      <c r="L9" s="868"/>
    </row>
    <row r="10" spans="1:12" s="150" customFormat="1" ht="30" customHeight="1">
      <c r="A10" s="878">
        <v>1.1</v>
      </c>
      <c r="B10" s="865" t="s">
        <v>1172</v>
      </c>
      <c r="C10" s="412" t="s">
        <v>17</v>
      </c>
      <c r="D10" s="407" t="str">
        <f>'السياسة والمتابعة والتشريع'!F10</f>
        <v>تحليل تقييم الموقف.</v>
      </c>
      <c r="E10" s="560"/>
      <c r="F10" s="375">
        <f>'السياسة والمتابعة والتشريع'!AN10</f>
        <v>149500</v>
      </c>
      <c r="G10" s="375">
        <f>'السياسة والمتابعة والتشريع'!AO10</f>
        <v>0</v>
      </c>
      <c r="H10" s="375">
        <f>'السياسة والمتابعة والتشريع'!AP10</f>
        <v>0</v>
      </c>
      <c r="I10" s="375">
        <f>'السياسة والمتابعة والتشريع'!AQ10</f>
        <v>0</v>
      </c>
      <c r="J10" s="375">
        <f>'السياسة والمتابعة والتشريع'!AR10</f>
        <v>25000</v>
      </c>
      <c r="K10" s="375">
        <f>'السياسة والمتابعة والتشريع'!AS10</f>
        <v>0</v>
      </c>
      <c r="L10" s="375">
        <f>'السياسة والمتابعة والتشريع'!AT10</f>
        <v>124500</v>
      </c>
    </row>
    <row r="11" spans="1:12" s="153" customFormat="1" ht="63.75" customHeight="1">
      <c r="A11" s="878"/>
      <c r="B11" s="866"/>
      <c r="C11" s="412" t="s">
        <v>30</v>
      </c>
      <c r="D11" s="407" t="str">
        <f>'السياسة والمتابعة والتشريع'!F11</f>
        <v>الانتهاء من مراجعة الإطار التنظيمي للاستراتيجيات القطاعية والاستراتيجيات الشاملة (مراجعة أمر صوغ الاستراتيجيات القطاعية والاستراتيجيات الشاملة)</v>
      </c>
      <c r="E11" s="560"/>
      <c r="F11" s="375">
        <f>'السياسة والمتابعة والتشريع'!AN11</f>
        <v>25000</v>
      </c>
      <c r="G11" s="375"/>
      <c r="H11" s="375">
        <f>'السياسة والمتابعة والتشريع'!AP11</f>
        <v>0</v>
      </c>
      <c r="I11" s="375">
        <f>'السياسة والمتابعة والتشريع'!AQ11</f>
        <v>0</v>
      </c>
      <c r="J11" s="375">
        <f>'السياسة والمتابعة والتشريع'!AR11</f>
        <v>25000</v>
      </c>
      <c r="K11" s="375">
        <f>'السياسة والمتابعة والتشريع'!AS11</f>
        <v>0</v>
      </c>
      <c r="L11" s="375">
        <f>'السياسة والمتابعة والتشريع'!AT11</f>
        <v>0</v>
      </c>
    </row>
    <row r="12" spans="1:12" s="154" customFormat="1" ht="67.5" customHeight="1">
      <c r="A12" s="878"/>
      <c r="B12" s="866"/>
      <c r="C12" s="412" t="s">
        <v>31</v>
      </c>
      <c r="D12" s="407" t="str">
        <f>'السياسة والمتابعة والتشريع'!F12</f>
        <v>مراجعة طريقة عمل المجموعات الشاملة الأخرى في مجموعات السياسات الإدارية المتكاملة (IMPG) (بما في ذلك دورة برمجة السياسات بأكملها - التنفيذ - المتابعة)</v>
      </c>
      <c r="E12" s="560"/>
      <c r="F12" s="375">
        <f>'السياسة والمتابعة والتشريع'!AN12</f>
        <v>1041000</v>
      </c>
      <c r="G12" s="375">
        <f>'السياسة والمتابعة والتشريع'!AO12</f>
        <v>7000</v>
      </c>
      <c r="H12" s="375">
        <f>'السياسة والمتابعة والتشريع'!AP12</f>
        <v>0</v>
      </c>
      <c r="I12" s="375">
        <f>'السياسة والمتابعة والتشريع'!AQ12</f>
        <v>0</v>
      </c>
      <c r="J12" s="375">
        <f>'السياسة والمتابعة والتشريع'!AR12</f>
        <v>0</v>
      </c>
      <c r="K12" s="375">
        <f>'السياسة والمتابعة والتشريع'!AS12</f>
        <v>0</v>
      </c>
      <c r="L12" s="375">
        <f>'السياسة والمتابعة والتشريع'!AT12</f>
        <v>1034000</v>
      </c>
    </row>
    <row r="13" spans="1:12" s="155" customFormat="1" ht="25.5">
      <c r="A13" s="878"/>
      <c r="B13" s="866"/>
      <c r="C13" s="412" t="s">
        <v>32</v>
      </c>
      <c r="D13" s="407" t="str">
        <f>'السياسة والمتابعة والتشريع'!F13</f>
        <v>المساعدة في التطبيق التجريبي لمجموعات السياسات الإدارية المتكاملة (المياه والاجتماعية والتنافسية)</v>
      </c>
      <c r="E13" s="560"/>
      <c r="F13" s="375">
        <f>'السياسة والمتابعة والتشريع'!AN13</f>
        <v>450000</v>
      </c>
      <c r="G13" s="375">
        <f>'السياسة والمتابعة والتشريع'!AO13</f>
        <v>0</v>
      </c>
      <c r="H13" s="375">
        <f>'السياسة والمتابعة والتشريع'!AP13</f>
        <v>450000</v>
      </c>
      <c r="I13" s="375">
        <f>'السياسة والمتابعة والتشريع'!AQ13</f>
        <v>0</v>
      </c>
      <c r="J13" s="375">
        <f>'السياسة والمتابعة والتشريع'!AR13</f>
        <v>0</v>
      </c>
      <c r="K13" s="375">
        <f>'السياسة والمتابعة والتشريع'!AS13</f>
        <v>0</v>
      </c>
      <c r="L13" s="375">
        <f>'السياسة والمتابعة والتشريع'!AT13</f>
        <v>0</v>
      </c>
    </row>
    <row r="14" spans="1:12" s="155" customFormat="1" ht="35.25" customHeight="1">
      <c r="A14" s="878"/>
      <c r="B14" s="866"/>
      <c r="C14" s="412" t="s">
        <v>34</v>
      </c>
      <c r="D14" s="407" t="str">
        <f>'السياسة والمتابعة والتشريع'!F14</f>
        <v>المساعدة في تشغيل المجموعات الأخرى للسياسات الإدارية المتكاملة</v>
      </c>
      <c r="E14" s="560"/>
      <c r="F14" s="375">
        <f>'السياسة والمتابعة والتشريع'!AN14</f>
        <v>1656375</v>
      </c>
      <c r="G14" s="375">
        <f>'السياسة والمتابعة والتشريع'!AO14</f>
        <v>0</v>
      </c>
      <c r="H14" s="375">
        <f>'السياسة والمتابعة والتشريع'!AP14</f>
        <v>0</v>
      </c>
      <c r="I14" s="375">
        <f>'السياسة والمتابعة والتشريع'!AQ14</f>
        <v>0</v>
      </c>
      <c r="J14" s="375">
        <f>'السياسة والمتابعة والتشريع'!AR14</f>
        <v>0</v>
      </c>
      <c r="K14" s="375">
        <f>'السياسة والمتابعة والتشريع'!AS14</f>
        <v>0</v>
      </c>
      <c r="L14" s="375">
        <f>'السياسة والمتابعة والتشريع'!AT14</f>
        <v>1656375</v>
      </c>
    </row>
    <row r="15" spans="1:12" ht="66.75" customHeight="1">
      <c r="A15" s="878"/>
      <c r="B15" s="866"/>
      <c r="C15" s="412" t="s">
        <v>112</v>
      </c>
      <c r="D15" s="407" t="str">
        <f>'السياسة والمتابعة والتشريع'!F15</f>
        <v>إعداد برنامج تدريبي لكافة موظفي صنع السياسات في الوزارات المباشرة (دوائر السياسة والتنسيق) على إعداد الوثائق الاستراتيجية والسياسات. </v>
      </c>
      <c r="E15" s="560"/>
      <c r="F15" s="375">
        <f>'السياسة والمتابعة والتشريع'!AN15</f>
        <v>42000</v>
      </c>
      <c r="G15" s="375">
        <f>'السياسة والمتابعة والتشريع'!AO15</f>
        <v>1000</v>
      </c>
      <c r="H15" s="375">
        <f>'السياسة والمتابعة والتشريع'!AP15</f>
        <v>0</v>
      </c>
      <c r="I15" s="375">
        <f>'السياسة والمتابعة والتشريع'!AQ15</f>
        <v>0</v>
      </c>
      <c r="J15" s="375">
        <f>'السياسة والمتابعة والتشريع'!AR15</f>
        <v>0</v>
      </c>
      <c r="K15" s="375">
        <f>'السياسة والمتابعة والتشريع'!AS15</f>
        <v>0</v>
      </c>
      <c r="L15" s="375">
        <f>'السياسة والمتابعة والتشريع'!AT15</f>
        <v>41000</v>
      </c>
    </row>
    <row r="16" spans="1:12" ht="56.25" customHeight="1">
      <c r="A16" s="878"/>
      <c r="B16" s="866"/>
      <c r="C16" s="412" t="s">
        <v>113</v>
      </c>
      <c r="D16" s="407" t="str">
        <f>'السياسة والمتابعة والتشريع'!F16</f>
        <v>تنفيذ البرنامج التدريبي لكافة موظفي صنع السياسات في الوزارات المباشرة (دوائر السياسة والتنسيق)</v>
      </c>
      <c r="E16" s="560"/>
      <c r="F16" s="375">
        <f>'السياسة والمتابعة والتشريع'!AN16</f>
        <v>109700</v>
      </c>
      <c r="G16" s="375">
        <f>'السياسة والمتابعة والتشريع'!AO16</f>
        <v>0</v>
      </c>
      <c r="H16" s="375">
        <f>'السياسة والمتابعة والتشريع'!AP16</f>
        <v>0</v>
      </c>
      <c r="I16" s="375">
        <f>'السياسة والمتابعة والتشريع'!AQ16</f>
        <v>0</v>
      </c>
      <c r="J16" s="375">
        <f>'السياسة والمتابعة والتشريع'!AR16</f>
        <v>0</v>
      </c>
      <c r="K16" s="375">
        <f>'السياسة والمتابعة والتشريع'!AS16</f>
        <v>0</v>
      </c>
      <c r="L16" s="375">
        <f>'السياسة والمتابعة والتشريع'!AT16</f>
        <v>109700</v>
      </c>
    </row>
    <row r="17" spans="1:12" ht="31.5" customHeight="1">
      <c r="A17" s="878"/>
      <c r="B17" s="866"/>
      <c r="C17" s="412" t="s">
        <v>114</v>
      </c>
      <c r="D17" s="407" t="str">
        <f>'السياسة والمتابعة والتشريع'!F17</f>
        <v>صوغ الاستراتيجيات والوثائق الشاملة </v>
      </c>
      <c r="E17" s="560"/>
      <c r="F17" s="375">
        <f>'السياسة والمتابعة والتشريع'!AN17</f>
        <v>1662500</v>
      </c>
      <c r="G17" s="375">
        <f>'السياسة والمتابعة والتشريع'!AO17</f>
        <v>0</v>
      </c>
      <c r="H17" s="375">
        <f>'السياسة والمتابعة والتشريع'!AP17</f>
        <v>0</v>
      </c>
      <c r="I17" s="375">
        <f>'السياسة والمتابعة والتشريع'!AQ17</f>
        <v>0</v>
      </c>
      <c r="J17" s="375">
        <f>'السياسة والمتابعة والتشريع'!AR17</f>
        <v>0</v>
      </c>
      <c r="K17" s="375">
        <f>'السياسة والمتابعة والتشريع'!AS17</f>
        <v>0</v>
      </c>
      <c r="L17" s="375">
        <f>'السياسة والمتابعة والتشريع'!AT17</f>
        <v>1662500</v>
      </c>
    </row>
    <row r="18" spans="1:12" ht="12.75">
      <c r="A18" s="878"/>
      <c r="B18" s="866"/>
      <c r="C18" s="412" t="s">
        <v>115</v>
      </c>
      <c r="D18" s="407" t="str">
        <f>'السياسة والمتابعة والتشريع'!F18</f>
        <v>صوغ الخطط الإدارية الشاملة (IMP) للوزارات المباشرة</v>
      </c>
      <c r="E18" s="560"/>
      <c r="F18" s="375">
        <f>'السياسة والمتابعة والتشريع'!AN18</f>
        <v>332500</v>
      </c>
      <c r="G18" s="375">
        <f>'السياسة والمتابعة والتشريع'!AO18</f>
        <v>0</v>
      </c>
      <c r="H18" s="375">
        <f>'السياسة والمتابعة والتشريع'!AP18</f>
        <v>0</v>
      </c>
      <c r="I18" s="375">
        <f>'السياسة والمتابعة والتشريع'!AQ18</f>
        <v>0</v>
      </c>
      <c r="J18" s="375">
        <f>'السياسة والمتابعة والتشريع'!AR18</f>
        <v>0</v>
      </c>
      <c r="K18" s="375">
        <f>'السياسة والمتابعة والتشريع'!AS18</f>
        <v>0</v>
      </c>
      <c r="L18" s="375">
        <f>'السياسة والمتابعة والتشريع'!AT18</f>
        <v>332500</v>
      </c>
    </row>
    <row r="19" spans="1:12" ht="30" customHeight="1">
      <c r="A19" s="878"/>
      <c r="B19" s="866"/>
      <c r="C19" s="412" t="s">
        <v>116</v>
      </c>
      <c r="D19" s="407" t="str">
        <f>'السياسة والمتابعة والتشريع'!F19</f>
        <v>طباعة الخطط الإدارية الشاملة</v>
      </c>
      <c r="E19" s="560"/>
      <c r="F19" s="375">
        <f>'السياسة والمتابعة والتشريع'!AN19</f>
        <v>28500</v>
      </c>
      <c r="G19" s="375">
        <f>'السياسة والمتابعة والتشريع'!AO19</f>
        <v>0</v>
      </c>
      <c r="H19" s="375">
        <f>'السياسة والمتابعة والتشريع'!AP19</f>
        <v>0</v>
      </c>
      <c r="I19" s="375">
        <f>'السياسة والمتابعة والتشريع'!AQ19</f>
        <v>0</v>
      </c>
      <c r="J19" s="375">
        <f>'السياسة والمتابعة والتشريع'!AR19</f>
        <v>0</v>
      </c>
      <c r="K19" s="375">
        <f>'السياسة والمتابعة والتشريع'!AS19</f>
        <v>0</v>
      </c>
      <c r="L19" s="375">
        <f>'السياسة والمتابعة والتشريع'!AT19</f>
        <v>28500</v>
      </c>
    </row>
    <row r="20" spans="1:12" ht="30.75" customHeight="1">
      <c r="A20" s="376"/>
      <c r="B20" s="411"/>
      <c r="C20" s="412" t="s">
        <v>120</v>
      </c>
      <c r="D20" s="407" t="str">
        <f>'السياسة والمتابعة والتشريع'!F23</f>
        <v>تحليل تقييم الموقف.</v>
      </c>
      <c r="E20" s="560"/>
      <c r="F20" s="375">
        <f>'السياسة والمتابعة والتشريع'!AN23</f>
        <v>61500</v>
      </c>
      <c r="G20" s="375">
        <f>'السياسة والمتابعة والتشريع'!AO23</f>
        <v>0</v>
      </c>
      <c r="H20" s="375">
        <f>'السياسة والمتابعة والتشريع'!AP23</f>
        <v>0</v>
      </c>
      <c r="I20" s="375">
        <f>'السياسة والمتابعة والتشريع'!AQ23</f>
        <v>0</v>
      </c>
      <c r="J20" s="375">
        <f>'السياسة والمتابعة والتشريع'!AR23</f>
        <v>0</v>
      </c>
      <c r="K20" s="375">
        <f>'السياسة والمتابعة والتشريع'!AS23</f>
        <v>0</v>
      </c>
      <c r="L20" s="375">
        <f>'السياسة والمتابعة والتشريع'!AT23</f>
        <v>61500</v>
      </c>
    </row>
    <row r="21" spans="1:12" ht="38.25">
      <c r="A21" s="376"/>
      <c r="B21" s="411"/>
      <c r="C21" s="412" t="s">
        <v>121</v>
      </c>
      <c r="D21" s="407" t="str">
        <f>'السياسة والمتابعة والتشريع'!F24</f>
        <v>مراجعة الإطار المؤسسي والقانوني ذي الصلة (إعداد أمر جديد ودليل نظام التخطيط الشامل ومراجعة التقويم السنوي لنظام التخطيط الشامل) </v>
      </c>
      <c r="E21" s="560"/>
      <c r="F21" s="375">
        <f>'السياسة والمتابعة والتشريع'!AN24</f>
        <v>49000</v>
      </c>
      <c r="G21" s="375">
        <f>'السياسة والمتابعة والتشريع'!AO24</f>
        <v>0</v>
      </c>
      <c r="H21" s="375">
        <f>'السياسة والمتابعة والتشريع'!AP24</f>
        <v>0</v>
      </c>
      <c r="I21" s="375">
        <f>'السياسة والمتابعة والتشريع'!AQ24</f>
        <v>0</v>
      </c>
      <c r="J21" s="375">
        <f>'السياسة والمتابعة والتشريع'!AR24</f>
        <v>0</v>
      </c>
      <c r="K21" s="375">
        <f>'السياسة والمتابعة والتشريع'!AS24</f>
        <v>0</v>
      </c>
      <c r="L21" s="375">
        <f>'السياسة والمتابعة والتشريع'!AT24</f>
        <v>49000</v>
      </c>
    </row>
    <row r="22" spans="1:12" ht="25.5" customHeight="1">
      <c r="A22" s="376"/>
      <c r="B22" s="411"/>
      <c r="C22" s="857" t="s">
        <v>122</v>
      </c>
      <c r="D22" s="865" t="str">
        <f>'السياسة والمتابعة والتشريع'!F25</f>
        <v>تطبيق النظام الجديد وبناء القدرات</v>
      </c>
      <c r="E22" s="562"/>
      <c r="F22" s="375">
        <f>'السياسة والمتابعة والتشريع'!AN25</f>
        <v>130200</v>
      </c>
      <c r="G22" s="375">
        <f>'السياسة والمتابعة والتشريع'!AO25</f>
        <v>0</v>
      </c>
      <c r="H22" s="375">
        <f>'السياسة والمتابعة والتشريع'!AP25</f>
        <v>0</v>
      </c>
      <c r="I22" s="375">
        <f>'السياسة والمتابعة والتشريع'!AQ25</f>
        <v>0</v>
      </c>
      <c r="J22" s="375">
        <f>'السياسة والمتابعة والتشريع'!AR25</f>
        <v>0</v>
      </c>
      <c r="K22" s="375">
        <f>'السياسة والمتابعة والتشريع'!AS25</f>
        <v>0</v>
      </c>
      <c r="L22" s="375">
        <f>'السياسة والمتابعة والتشريع'!AT25</f>
        <v>130200</v>
      </c>
    </row>
    <row r="23" spans="1:12" ht="36" customHeight="1">
      <c r="A23" s="376"/>
      <c r="B23" s="411"/>
      <c r="C23" s="858"/>
      <c r="D23" s="869"/>
      <c r="E23" s="563"/>
      <c r="F23" s="375">
        <f>'السياسة والمتابعة والتشريع'!AN26</f>
        <v>367200</v>
      </c>
      <c r="G23" s="375">
        <f>'السياسة والمتابعة والتشريع'!AO26</f>
        <v>0</v>
      </c>
      <c r="H23" s="375">
        <f>'السياسة والمتابعة والتشريع'!AP26</f>
        <v>0</v>
      </c>
      <c r="I23" s="375">
        <f>'السياسة والمتابعة والتشريع'!AQ26</f>
        <v>0</v>
      </c>
      <c r="J23" s="375">
        <f>'السياسة والمتابعة والتشريع'!AR26</f>
        <v>0</v>
      </c>
      <c r="K23" s="375">
        <f>'السياسة والمتابعة والتشريع'!AS26</f>
        <v>0</v>
      </c>
      <c r="L23" s="375">
        <f>'السياسة والمتابعة والتشريع'!AT26</f>
        <v>367200</v>
      </c>
    </row>
    <row r="24" spans="1:12" ht="25.5">
      <c r="A24" s="845">
        <v>1.2</v>
      </c>
      <c r="B24" s="846" t="s">
        <v>1173</v>
      </c>
      <c r="C24" s="407" t="s">
        <v>35</v>
      </c>
      <c r="D24" s="407" t="str">
        <f>'السياسة والمتابعة والتشريع'!F20</f>
        <v>صوغ التحليل القطاعي والشامل للتنفيذ على المدى المتوسط (المرحلة 2014/2015-2016).</v>
      </c>
      <c r="E24" s="560"/>
      <c r="F24" s="375">
        <f>'السياسة والمتابعة والتشريع'!AN20</f>
        <v>227500</v>
      </c>
      <c r="G24" s="375">
        <f>'السياسة والمتابعة والتشريع'!AO20</f>
        <v>0</v>
      </c>
      <c r="H24" s="375">
        <f>'السياسة والمتابعة والتشريع'!AP20</f>
        <v>0</v>
      </c>
      <c r="I24" s="375">
        <f>'السياسة والمتابعة والتشريع'!AQ20</f>
        <v>0</v>
      </c>
      <c r="J24" s="375">
        <f>'السياسة والمتابعة والتشريع'!AR20</f>
        <v>0</v>
      </c>
      <c r="K24" s="375">
        <f>'السياسة والمتابعة والتشريع'!AS20</f>
        <v>0</v>
      </c>
      <c r="L24" s="375">
        <f>'السياسة والمتابعة والتشريع'!AT20</f>
        <v>227500</v>
      </c>
    </row>
    <row r="25" spans="1:12" ht="25.5" customHeight="1">
      <c r="A25" s="845"/>
      <c r="B25" s="846"/>
      <c r="C25" s="407" t="s">
        <v>36</v>
      </c>
      <c r="D25" s="407" t="str">
        <f>'السياسة والمتابعة والتشريع'!F21</f>
        <v>تحليل متوسط المدى لتنفيذ الاستراتيجية الوطنية للتنمية والتكامل 2014 -2020 </v>
      </c>
      <c r="E25" s="560"/>
      <c r="F25" s="375">
        <f>'السياسة والمتابعة والتشريع'!AN21</f>
        <v>71000</v>
      </c>
      <c r="G25" s="375">
        <f>'السياسة والمتابعة والتشريع'!AO21</f>
        <v>0</v>
      </c>
      <c r="H25" s="375">
        <f>'السياسة والمتابعة والتشريع'!AP21</f>
        <v>0</v>
      </c>
      <c r="I25" s="375">
        <f>'السياسة والمتابعة والتشريع'!AQ21</f>
        <v>0</v>
      </c>
      <c r="J25" s="375">
        <f>'السياسة والمتابعة والتشريع'!AR21</f>
        <v>0</v>
      </c>
      <c r="K25" s="375">
        <f>'السياسة والمتابعة والتشريع'!AS21</f>
        <v>0</v>
      </c>
      <c r="L25" s="375">
        <f>'السياسة والمتابعة والتشريع'!AT21</f>
        <v>71000</v>
      </c>
    </row>
    <row r="26" spans="1:12" ht="39" customHeight="1">
      <c r="A26" s="845"/>
      <c r="B26" s="846"/>
      <c r="C26" s="407" t="s">
        <v>37</v>
      </c>
      <c r="D26" s="407" t="str">
        <f>'السياسة والمتابعة والتشريع'!F22</f>
        <v>مراجعة متوسطة المدى للاستراتيجيات والوثائق الاستراتيجية والاستراتيجية الوطنية للتنمية والتكامل 2014-2020</v>
      </c>
      <c r="E26" s="560"/>
      <c r="F26" s="375">
        <f>'السياسة والمتابعة والتشريع'!AN22</f>
        <v>1633500</v>
      </c>
      <c r="G26" s="375">
        <f>'السياسة والمتابعة والتشريع'!AO22</f>
        <v>0</v>
      </c>
      <c r="H26" s="375">
        <f>'السياسة والمتابعة والتشريع'!AP22</f>
        <v>0</v>
      </c>
      <c r="I26" s="375">
        <f>'السياسة والمتابعة والتشريع'!AQ22</f>
        <v>0</v>
      </c>
      <c r="J26" s="375">
        <f>'السياسة والمتابعة والتشريع'!AR22</f>
        <v>0</v>
      </c>
      <c r="K26" s="375">
        <f>'السياسة والمتابعة والتشريع'!AS22</f>
        <v>0</v>
      </c>
      <c r="L26" s="375">
        <f>'السياسة والمتابعة والتشريع'!AT22</f>
        <v>1633500</v>
      </c>
    </row>
    <row r="27" spans="1:12" ht="32.25" customHeight="1">
      <c r="A27" s="845">
        <v>1.3</v>
      </c>
      <c r="B27" s="846" t="s">
        <v>526</v>
      </c>
      <c r="C27" s="407" t="s">
        <v>39</v>
      </c>
      <c r="D27" s="407" t="str">
        <f>'السياسة والمتابعة والتشريع'!F27</f>
        <v>الموظفون المعينون </v>
      </c>
      <c r="E27" s="560"/>
      <c r="F27" s="375">
        <f>'السياسة والمتابعة والتشريع'!AN27</f>
        <v>259200</v>
      </c>
      <c r="G27" s="375">
        <f>'السياسة والمتابعة والتشريع'!AO27</f>
        <v>0</v>
      </c>
      <c r="H27" s="375">
        <f>'السياسة والمتابعة والتشريع'!AP27</f>
        <v>0</v>
      </c>
      <c r="I27" s="375">
        <f>'السياسة والمتابعة والتشريع'!AQ27</f>
        <v>0</v>
      </c>
      <c r="J27" s="375">
        <f>'السياسة والمتابعة والتشريع'!AR27</f>
        <v>0</v>
      </c>
      <c r="K27" s="375">
        <f>'السياسة والمتابعة والتشريع'!AS27</f>
        <v>0</v>
      </c>
      <c r="L27" s="375">
        <f>'السياسة والمتابعة والتشريع'!AT27</f>
        <v>259200</v>
      </c>
    </row>
    <row r="28" spans="1:12" ht="44.25" customHeight="1">
      <c r="A28" s="845"/>
      <c r="B28" s="846"/>
      <c r="C28" s="407" t="s">
        <v>40</v>
      </c>
      <c r="D28" s="815" t="s">
        <v>1220</v>
      </c>
      <c r="E28" s="560"/>
      <c r="F28" s="375">
        <f>'السياسة والمتابعة والتشريع'!AN28</f>
        <v>6500</v>
      </c>
      <c r="G28" s="375">
        <f>'السياسة والمتابعة والتشريع'!AO28</f>
        <v>0</v>
      </c>
      <c r="H28" s="375">
        <f>'السياسة والمتابعة والتشريع'!AP28</f>
        <v>0</v>
      </c>
      <c r="I28" s="375">
        <f>'السياسة والمتابعة والتشريع'!AQ28</f>
        <v>0</v>
      </c>
      <c r="J28" s="375">
        <f>'السياسة والمتابعة والتشريع'!AR28</f>
        <v>0</v>
      </c>
      <c r="K28" s="375">
        <f>'السياسة والمتابعة والتشريع'!AS28</f>
        <v>0</v>
      </c>
      <c r="L28" s="375">
        <f>'السياسة والمتابعة والتشريع'!AT28</f>
        <v>6500</v>
      </c>
    </row>
    <row r="29" spans="1:12" ht="54" customHeight="1">
      <c r="A29" s="845"/>
      <c r="B29" s="846"/>
      <c r="C29" s="407" t="s">
        <v>41</v>
      </c>
      <c r="D29" s="407" t="str">
        <f>'السياسة والمتابعة والتشريع'!F29</f>
        <v>جولات دراسية لاكتساب ممارسات وتجارب من الدول الأخرى.</v>
      </c>
      <c r="E29" s="560"/>
      <c r="F29" s="375">
        <f>'السياسة والمتابعة والتشريع'!AN29</f>
        <v>9000</v>
      </c>
      <c r="G29" s="375">
        <f>'السياسة والمتابعة والتشريع'!AO29</f>
        <v>0</v>
      </c>
      <c r="H29" s="375">
        <f>'السياسة والمتابعة والتشريع'!AP29</f>
        <v>0</v>
      </c>
      <c r="I29" s="375">
        <f>'السياسة والمتابعة والتشريع'!AQ29</f>
        <v>0</v>
      </c>
      <c r="J29" s="375">
        <f>'السياسة والمتابعة والتشريع'!AR29</f>
        <v>0</v>
      </c>
      <c r="K29" s="375">
        <f>'السياسة والمتابعة والتشريع'!AS29</f>
        <v>0</v>
      </c>
      <c r="L29" s="375">
        <f>'السياسة والمتابعة والتشريع'!AT29</f>
        <v>9000</v>
      </c>
    </row>
    <row r="30" spans="1:12" ht="28.5" customHeight="1">
      <c r="A30" s="845">
        <v>1.4</v>
      </c>
      <c r="B30" s="846" t="s">
        <v>527</v>
      </c>
      <c r="C30" s="407" t="s">
        <v>44</v>
      </c>
      <c r="D30" s="407" t="str">
        <f>'السياسة والمتابعة والتشريع'!F30</f>
        <v>تأسيس IPSIS</v>
      </c>
      <c r="E30" s="560"/>
      <c r="F30" s="375">
        <f>'السياسة والمتابعة والتشريع'!AN30</f>
        <v>250000</v>
      </c>
      <c r="G30" s="375">
        <f>'السياسة والمتابعة والتشريع'!AO30</f>
        <v>0</v>
      </c>
      <c r="H30" s="375">
        <f>'السياسة والمتابعة والتشريع'!AP30</f>
        <v>0</v>
      </c>
      <c r="I30" s="375">
        <f>'السياسة والمتابعة والتشريع'!AQ30</f>
        <v>0</v>
      </c>
      <c r="J30" s="375">
        <f>'السياسة والمتابعة والتشريع'!AR30</f>
        <v>250000</v>
      </c>
      <c r="K30" s="375">
        <f>'السياسة والمتابعة والتشريع'!AS30</f>
        <v>0</v>
      </c>
      <c r="L30" s="375">
        <f>'السياسة والمتابعة والتشريع'!AT30</f>
        <v>0</v>
      </c>
    </row>
    <row r="31" spans="1:12" ht="78.75" customHeight="1">
      <c r="A31" s="845"/>
      <c r="B31" s="846"/>
      <c r="C31" s="407" t="s">
        <v>46</v>
      </c>
      <c r="D31" s="407" t="str">
        <f>'السياسة والمتابعة والتشريع'!F31</f>
        <v>تدريب موظفي المؤسسات المركزية على إدارة نظام IPSIS وصيانته.</v>
      </c>
      <c r="E31" s="560"/>
      <c r="F31" s="375">
        <f>'السياسة والمتابعة والتشريع'!AN31</f>
        <v>11190</v>
      </c>
      <c r="G31" s="375">
        <f>'السياسة والمتابعة والتشريع'!AO31</f>
        <v>0</v>
      </c>
      <c r="H31" s="375">
        <f>'السياسة والمتابعة والتشريع'!AP31</f>
        <v>0</v>
      </c>
      <c r="I31" s="375">
        <f>'السياسة والمتابعة والتشريع'!AQ31</f>
        <v>0</v>
      </c>
      <c r="J31" s="375">
        <f>'السياسة والمتابعة والتشريع'!AR31</f>
        <v>0</v>
      </c>
      <c r="K31" s="375">
        <f>'السياسة والمتابعة والتشريع'!AS31</f>
        <v>0</v>
      </c>
      <c r="L31" s="375">
        <f>'السياسة والمتابعة والتشريع'!AT31</f>
        <v>11190</v>
      </c>
    </row>
    <row r="32" spans="1:12" ht="66.75" customHeight="1">
      <c r="A32" s="845"/>
      <c r="B32" s="846"/>
      <c r="C32" s="407" t="s">
        <v>48</v>
      </c>
      <c r="D32" s="407" t="s">
        <v>1229</v>
      </c>
      <c r="E32" s="857" t="s">
        <v>528</v>
      </c>
      <c r="F32" s="375">
        <f>'السياسة والمتابعة والتشريع'!AN32</f>
        <v>0</v>
      </c>
      <c r="G32" s="375">
        <f>'السياسة والمتابعة والتشريع'!AO32</f>
        <v>0</v>
      </c>
      <c r="H32" s="375">
        <f>'السياسة والمتابعة والتشريع'!AP32</f>
        <v>0</v>
      </c>
      <c r="I32" s="375">
        <f>'السياسة والمتابعة والتشريع'!AQ32</f>
        <v>0</v>
      </c>
      <c r="J32" s="375">
        <f>'السياسة والمتابعة والتشريع'!AR32</f>
        <v>0</v>
      </c>
      <c r="K32" s="375">
        <f>'السياسة والمتابعة والتشريع'!AS32</f>
        <v>0</v>
      </c>
      <c r="L32" s="375">
        <f>'السياسة والمتابعة والتشريع'!AT32</f>
        <v>0</v>
      </c>
    </row>
    <row r="33" spans="1:12" ht="45" customHeight="1">
      <c r="A33" s="845"/>
      <c r="B33" s="846"/>
      <c r="C33" s="407" t="s">
        <v>79</v>
      </c>
      <c r="D33" s="407" t="str">
        <f>'السياسة والمتابعة والتشريع'!F33</f>
        <v>بناء قدرات وزارة المالية على إدارة نظام المعلومات الإدارية المالية الألباني. </v>
      </c>
      <c r="E33" s="858"/>
      <c r="F33" s="375">
        <f>'السياسة والمتابعة والتشريع'!AN33</f>
        <v>0</v>
      </c>
      <c r="G33" s="375">
        <f>'السياسة والمتابعة والتشريع'!AO33</f>
        <v>0</v>
      </c>
      <c r="H33" s="375">
        <f>'السياسة والمتابعة والتشريع'!AP33</f>
        <v>0</v>
      </c>
      <c r="I33" s="375">
        <f>'السياسة والمتابعة والتشريع'!AQ33</f>
        <v>0</v>
      </c>
      <c r="J33" s="375">
        <f>'السياسة والمتابعة والتشريع'!AR33</f>
        <v>0</v>
      </c>
      <c r="K33" s="375">
        <f>'السياسة والمتابعة والتشريع'!AS33</f>
        <v>0</v>
      </c>
      <c r="L33" s="375">
        <f>'السياسة والمتابعة والتشريع'!AT33</f>
        <v>0</v>
      </c>
    </row>
    <row r="34" spans="1:12" ht="62.25" customHeight="1">
      <c r="A34" s="377">
        <v>1.6</v>
      </c>
      <c r="B34" s="795" t="s">
        <v>1174</v>
      </c>
      <c r="C34" s="407" t="s">
        <v>117</v>
      </c>
      <c r="D34" s="407" t="str">
        <f>'السياسة والمتابعة والتشريع'!F34</f>
        <v>بناء قدرة المؤسسات فيما يتعلق ببرنامج الميزانية متوسطة الأجل. </v>
      </c>
      <c r="E34" s="560"/>
      <c r="F34" s="378">
        <f>'السياسة والمتابعة والتشريع'!AN34</f>
        <v>27900</v>
      </c>
      <c r="G34" s="378">
        <f>'السياسة والمتابعة والتشريع'!AO34</f>
        <v>0</v>
      </c>
      <c r="H34" s="378">
        <f>'السياسة والمتابعة والتشريع'!AP34</f>
        <v>0</v>
      </c>
      <c r="I34" s="378">
        <f>'السياسة والمتابعة والتشريع'!AQ34</f>
        <v>0</v>
      </c>
      <c r="J34" s="378">
        <f>'السياسة والمتابعة والتشريع'!AR34</f>
        <v>0</v>
      </c>
      <c r="K34" s="378">
        <f>'السياسة والمتابعة والتشريع'!AS34</f>
        <v>0</v>
      </c>
      <c r="L34" s="378">
        <f>'السياسة والمتابعة والتشريع'!AT34</f>
        <v>27900</v>
      </c>
    </row>
    <row r="35" spans="1:12" ht="42.75" customHeight="1">
      <c r="A35" s="845">
        <v>1.7</v>
      </c>
      <c r="B35" s="846" t="s">
        <v>1175</v>
      </c>
      <c r="C35" s="407"/>
      <c r="D35" s="407" t="str">
        <f>'السياسة والمتابعة والتشريع'!F35</f>
        <v>بناء قدرات الوزارات المباشرة من خلال تنفيذ برنامج التدريب على التخطيط الاستراتيجي.  </v>
      </c>
      <c r="E35" s="560"/>
      <c r="F35" s="375">
        <f>'السياسة والمتابعة والتشريع'!AN35</f>
        <v>62590</v>
      </c>
      <c r="G35" s="375">
        <f>'السياسة والمتابعة والتشريع'!AO35</f>
        <v>0</v>
      </c>
      <c r="H35" s="375">
        <f>'السياسة والمتابعة والتشريع'!AP35</f>
        <v>0</v>
      </c>
      <c r="I35" s="375">
        <f>'السياسة والمتابعة والتشريع'!AQ35</f>
        <v>0</v>
      </c>
      <c r="J35" s="375">
        <f>'السياسة والمتابعة والتشريع'!AR35</f>
        <v>0</v>
      </c>
      <c r="K35" s="375">
        <f>'السياسة والمتابعة والتشريع'!AS35</f>
        <v>0</v>
      </c>
      <c r="L35" s="375">
        <f>'السياسة والمتابعة والتشريع'!AT35</f>
        <v>62590</v>
      </c>
    </row>
    <row r="36" spans="1:12" ht="55.5" customHeight="1">
      <c r="A36" s="845"/>
      <c r="B36" s="846"/>
      <c r="C36" s="407"/>
      <c r="D36" s="407" t="str">
        <f>'السياسة والمتابعة والتشريع'!F36</f>
        <v>بناء القدرات البشرية لوحدة التخطيط الاستراتيجي لضمان القيادة والتوجيه المناسبين لإعداد ومتابعة الوثائق الاستراتيجية. </v>
      </c>
      <c r="E36" s="560"/>
      <c r="F36" s="375">
        <f>'السياسة والمتابعة والتشريع'!AN36</f>
        <v>13170</v>
      </c>
      <c r="G36" s="375">
        <f>'السياسة والمتابعة والتشريع'!AO36</f>
        <v>0</v>
      </c>
      <c r="H36" s="375">
        <f>'السياسة والمتابعة والتشريع'!AP36</f>
        <v>0</v>
      </c>
      <c r="I36" s="375">
        <f>'السياسة والمتابعة والتشريع'!AQ36</f>
        <v>0</v>
      </c>
      <c r="J36" s="375">
        <f>'السياسة والمتابعة والتشريع'!AR36</f>
        <v>0</v>
      </c>
      <c r="K36" s="375">
        <f>'السياسة والمتابعة والتشريع'!AS36</f>
        <v>0</v>
      </c>
      <c r="L36" s="375">
        <f>'السياسة والمتابعة والتشريع'!AT36</f>
        <v>13170</v>
      </c>
    </row>
    <row r="37" spans="1:12" ht="33" customHeight="1">
      <c r="A37" s="847">
        <v>1.8</v>
      </c>
      <c r="B37" s="865" t="s">
        <v>529</v>
      </c>
      <c r="C37" s="407" t="s">
        <v>118</v>
      </c>
      <c r="D37" s="407" t="str">
        <f>'السياسة والمتابعة والتشريع'!F38</f>
        <v>تقييم الموقف من حيث عمل مجموعات الإدارة الاستراتيجية.</v>
      </c>
      <c r="E37" s="560"/>
      <c r="F37" s="375">
        <f>'السياسة والمتابعة والتشريع'!AN38</f>
        <v>55750</v>
      </c>
      <c r="G37" s="375">
        <f>'السياسة والمتابعة والتشريع'!AO38</f>
        <v>0</v>
      </c>
      <c r="H37" s="375">
        <f>'السياسة والمتابعة والتشريع'!AP38</f>
        <v>0</v>
      </c>
      <c r="I37" s="375">
        <f>'السياسة والمتابعة والتشريع'!AQ38</f>
        <v>0</v>
      </c>
      <c r="J37" s="375">
        <f>'السياسة والمتابعة والتشريع'!AR38</f>
        <v>0</v>
      </c>
      <c r="K37" s="375">
        <f>'السياسة والمتابعة والتشريع'!AS38</f>
        <v>0</v>
      </c>
      <c r="L37" s="375">
        <f>'السياسة والمتابعة والتشريع'!AT38</f>
        <v>55750</v>
      </c>
    </row>
    <row r="38" spans="1:12" ht="25.5">
      <c r="A38" s="848"/>
      <c r="B38" s="866"/>
      <c r="C38" s="407" t="s">
        <v>119</v>
      </c>
      <c r="D38" s="407" t="str">
        <f>'السياسة والمتابعة والتشريع'!F39</f>
        <v>تعديل الإطار القانوني والمؤسسي المناسب لطريقة عمل مجموعات الإدارة الاستراتيجية (SMGs).</v>
      </c>
      <c r="E38" s="560"/>
      <c r="F38" s="375">
        <f>'السياسة والمتابعة والتشريع'!AN39</f>
        <v>16000</v>
      </c>
      <c r="G38" s="375">
        <f>'السياسة والمتابعة والتشريع'!AO39</f>
        <v>0</v>
      </c>
      <c r="H38" s="375">
        <f>'السياسة والمتابعة والتشريع'!AP39</f>
        <v>0</v>
      </c>
      <c r="I38" s="375">
        <f>'السياسة والمتابعة والتشريع'!AQ39</f>
        <v>0</v>
      </c>
      <c r="J38" s="375">
        <f>'السياسة والمتابعة والتشريع'!AR39</f>
        <v>0</v>
      </c>
      <c r="K38" s="375">
        <f>'السياسة والمتابعة والتشريع'!AS39</f>
        <v>0</v>
      </c>
      <c r="L38" s="375">
        <f>'السياسة والمتابعة والتشريع'!AT39</f>
        <v>16000</v>
      </c>
    </row>
    <row r="39" spans="1:12" ht="25.5">
      <c r="A39" s="848"/>
      <c r="B39" s="866"/>
      <c r="C39" s="407" t="s">
        <v>123</v>
      </c>
      <c r="D39" s="407" t="str">
        <f>'السياسة والمتابعة والتشريع'!F40</f>
        <v>إعداد البرنامج التدريبي لشاغلي المناصب الإدارية العليا فيما يتعلق بدورة إدارة السياسات العامة. </v>
      </c>
      <c r="E39" s="560"/>
      <c r="F39" s="375">
        <f>'السياسة والمتابعة والتشريع'!AN40</f>
        <v>28500</v>
      </c>
      <c r="G39" s="375">
        <f>'السياسة والمتابعة والتشريع'!AO40</f>
        <v>0</v>
      </c>
      <c r="H39" s="375">
        <f>'السياسة والمتابعة والتشريع'!AP40</f>
        <v>0</v>
      </c>
      <c r="I39" s="375">
        <f>'السياسة والمتابعة والتشريع'!AQ40</f>
        <v>0</v>
      </c>
      <c r="J39" s="375">
        <f>'السياسة والمتابعة والتشريع'!AR40</f>
        <v>0</v>
      </c>
      <c r="K39" s="375">
        <f>'السياسة والمتابعة والتشريع'!AS40</f>
        <v>0</v>
      </c>
      <c r="L39" s="375">
        <f>'السياسة والمتابعة والتشريع'!AT40</f>
        <v>28500</v>
      </c>
    </row>
    <row r="40" spans="1:12" ht="38.25">
      <c r="A40" s="848"/>
      <c r="B40" s="866"/>
      <c r="C40" s="407" t="s">
        <v>124</v>
      </c>
      <c r="D40" s="407" t="str">
        <f>'السياسة والمتابعة والتشريع'!F41</f>
        <v>بناء قدرات شاغلي المناصب الإدارية العليا بالوزارات المباشرة من خلال تنفيذ برنامج التدريب على دورة إدارة السياسات العامة.  </v>
      </c>
      <c r="E40" s="560"/>
      <c r="F40" s="375">
        <f>'السياسة والمتابعة والتشريع'!AN41</f>
        <v>427250</v>
      </c>
      <c r="G40" s="375">
        <f>'السياسة والمتابعة والتشريع'!AO41</f>
        <v>0</v>
      </c>
      <c r="H40" s="375">
        <f>'السياسة والمتابعة والتشريع'!AP41</f>
        <v>0</v>
      </c>
      <c r="I40" s="375">
        <f>'السياسة والمتابعة والتشريع'!AQ41</f>
        <v>0</v>
      </c>
      <c r="J40" s="375">
        <f>'السياسة والمتابعة والتشريع'!AR41</f>
        <v>0</v>
      </c>
      <c r="K40" s="375">
        <f>'السياسة والمتابعة والتشريع'!AS41</f>
        <v>0</v>
      </c>
      <c r="L40" s="375">
        <f>'السياسة والمتابعة والتشريع'!AT41</f>
        <v>427250</v>
      </c>
    </row>
    <row r="41" spans="1:19" s="363" customFormat="1" ht="15.75" customHeight="1">
      <c r="A41" s="379"/>
      <c r="B41" s="870" t="s">
        <v>530</v>
      </c>
      <c r="C41" s="871"/>
      <c r="D41" s="872"/>
      <c r="E41" s="564"/>
      <c r="F41" s="380">
        <f aca="true" t="shared" si="0" ref="F41:L41">SUM(F10:F40)</f>
        <v>9204025</v>
      </c>
      <c r="G41" s="380">
        <f t="shared" si="0"/>
        <v>8000</v>
      </c>
      <c r="H41" s="380">
        <f t="shared" si="0"/>
        <v>450000</v>
      </c>
      <c r="I41" s="380">
        <f t="shared" si="0"/>
        <v>0</v>
      </c>
      <c r="J41" s="380">
        <f t="shared" si="0"/>
        <v>300000</v>
      </c>
      <c r="K41" s="380">
        <f t="shared" si="0"/>
        <v>0</v>
      </c>
      <c r="L41" s="380">
        <f t="shared" si="0"/>
        <v>8446025</v>
      </c>
      <c r="M41" s="487">
        <f>'السياسة والمتابعة والتشريع'!AN42</f>
        <v>9204025</v>
      </c>
      <c r="N41" s="487">
        <f>'السياسة والمتابعة والتشريع'!AO42</f>
        <v>8000</v>
      </c>
      <c r="O41" s="487">
        <f>'السياسة والمتابعة والتشريع'!AP42</f>
        <v>450000</v>
      </c>
      <c r="P41" s="487">
        <f>'السياسة والمتابعة والتشريع'!AQ42</f>
        <v>0</v>
      </c>
      <c r="Q41" s="487">
        <f>'السياسة والمتابعة والتشريع'!AR42</f>
        <v>300000</v>
      </c>
      <c r="R41" s="487">
        <f>'السياسة والمتابعة والتشريع'!AS42</f>
        <v>0</v>
      </c>
      <c r="S41" s="487">
        <f>'السياسة والمتابعة والتشريع'!AT42</f>
        <v>8446025</v>
      </c>
    </row>
    <row r="42" spans="1:19" ht="31.5" customHeight="1">
      <c r="A42" s="381">
        <v>2</v>
      </c>
      <c r="B42" s="873" t="s">
        <v>1176</v>
      </c>
      <c r="C42" s="874"/>
      <c r="D42" s="874"/>
      <c r="E42" s="874"/>
      <c r="F42" s="874"/>
      <c r="G42" s="874"/>
      <c r="H42" s="874"/>
      <c r="I42" s="874"/>
      <c r="J42" s="874"/>
      <c r="K42" s="874"/>
      <c r="L42" s="875"/>
      <c r="M42" s="488">
        <f>F41-M41</f>
        <v>0</v>
      </c>
      <c r="N42" s="488">
        <f aca="true" t="shared" si="1" ref="N42:S42">G41-N41</f>
        <v>0</v>
      </c>
      <c r="O42" s="488">
        <f t="shared" si="1"/>
        <v>0</v>
      </c>
      <c r="P42" s="488">
        <f t="shared" si="1"/>
        <v>0</v>
      </c>
      <c r="Q42" s="488">
        <f t="shared" si="1"/>
        <v>0</v>
      </c>
      <c r="R42" s="488">
        <f t="shared" si="1"/>
        <v>0</v>
      </c>
      <c r="S42" s="488">
        <f t="shared" si="1"/>
        <v>0</v>
      </c>
    </row>
    <row r="43" spans="1:12" ht="31.5" customHeight="1">
      <c r="A43" s="845">
        <v>2.1</v>
      </c>
      <c r="B43" s="846" t="s">
        <v>1177</v>
      </c>
      <c r="C43" s="407" t="s">
        <v>19</v>
      </c>
      <c r="D43" s="407" t="str">
        <f>'السياسة والمتابعة والتشريع'!F44</f>
        <v>تم صوغ تحليل تقييم الموقف.</v>
      </c>
      <c r="E43" s="560"/>
      <c r="F43" s="375">
        <f>'السياسة والمتابعة والتشريع'!AN44</f>
        <v>28500</v>
      </c>
      <c r="G43" s="375">
        <f>'السياسة والمتابعة والتشريع'!AO44</f>
        <v>0</v>
      </c>
      <c r="H43" s="375">
        <f>'السياسة والمتابعة والتشريع'!AP44</f>
        <v>0</v>
      </c>
      <c r="I43" s="375">
        <f>'السياسة والمتابعة والتشريع'!AQ44</f>
        <v>0</v>
      </c>
      <c r="J43" s="375">
        <f>'السياسة والمتابعة والتشريع'!AR44</f>
        <v>0</v>
      </c>
      <c r="K43" s="375">
        <f>'السياسة والمتابعة والتشريع'!AS44</f>
        <v>0</v>
      </c>
      <c r="L43" s="375">
        <f>'السياسة والمتابعة والتشريع'!AT44</f>
        <v>28500</v>
      </c>
    </row>
    <row r="44" spans="1:12" ht="38.25" customHeight="1">
      <c r="A44" s="845"/>
      <c r="B44" s="846"/>
      <c r="C44" s="407" t="s">
        <v>20</v>
      </c>
      <c r="D44" s="407" t="str">
        <f>'السياسة والمتابعة والتشريع'!F45</f>
        <v>الحزمة التشريعية حول صوغ التشريعات (مشروعات القوانين واللوائح الداخلية).</v>
      </c>
      <c r="E44" s="560"/>
      <c r="F44" s="375">
        <f>'السياسة والمتابعة والتشريع'!AN45</f>
        <v>82500</v>
      </c>
      <c r="G44" s="375">
        <f>'السياسة والمتابعة والتشريع'!AO45</f>
        <v>0</v>
      </c>
      <c r="H44" s="375">
        <f>'السياسة والمتابعة والتشريع'!AP45</f>
        <v>0</v>
      </c>
      <c r="I44" s="375">
        <f>'السياسة والمتابعة والتشريع'!AQ45</f>
        <v>0</v>
      </c>
      <c r="J44" s="375">
        <f>'السياسة والمتابعة والتشريع'!AR45</f>
        <v>0</v>
      </c>
      <c r="K44" s="375">
        <f>'السياسة والمتابعة والتشريع'!AS45</f>
        <v>0</v>
      </c>
      <c r="L44" s="375">
        <f>'السياسة والمتابعة والتشريع'!AT45</f>
        <v>82500</v>
      </c>
    </row>
    <row r="45" spans="1:12" ht="67.5" customHeight="1">
      <c r="A45" s="857">
        <v>2.2</v>
      </c>
      <c r="B45" s="865" t="s">
        <v>1178</v>
      </c>
      <c r="C45" s="407" t="s">
        <v>18</v>
      </c>
      <c r="D45" s="407" t="str">
        <f>'السياسة والمتابعة والتشريع'!F47</f>
        <v>تحليل الموقف الراهن للأشخاص وفقًا لمعايير التوظيف والخرائط التنظيمية والوصف الوظيفي لكل منهم.</v>
      </c>
      <c r="E45" s="560"/>
      <c r="F45" s="375">
        <f>'السياسة والمتابعة والتشريع'!AN47</f>
        <v>33000</v>
      </c>
      <c r="G45" s="375">
        <f>'السياسة والمتابعة والتشريع'!AO47</f>
        <v>0</v>
      </c>
      <c r="H45" s="375">
        <f>'السياسة والمتابعة والتشريع'!AP47</f>
        <v>0</v>
      </c>
      <c r="I45" s="375">
        <f>'السياسة والمتابعة والتشريع'!AQ47</f>
        <v>0</v>
      </c>
      <c r="J45" s="375">
        <f>'السياسة والمتابعة والتشريع'!AR47</f>
        <v>0</v>
      </c>
      <c r="K45" s="375">
        <f>'السياسة والمتابعة والتشريع'!AS47</f>
        <v>0</v>
      </c>
      <c r="L45" s="375">
        <f>'السياسة والمتابعة والتشريع'!AT47</f>
        <v>33000</v>
      </c>
    </row>
    <row r="46" spans="1:12" ht="48.75" customHeight="1">
      <c r="A46" s="859"/>
      <c r="B46" s="866"/>
      <c r="C46" s="407" t="s">
        <v>125</v>
      </c>
      <c r="D46" s="407" t="str">
        <f>'السياسة والمتابعة والتشريع'!F48</f>
        <v>معايير أكثر صرامة لتعيين الأشخاص الذين سيباشرون عملية صنع القوانين. </v>
      </c>
      <c r="E46" s="560"/>
      <c r="F46" s="375">
        <f>'السياسة والمتابعة والتشريع'!AN48</f>
        <v>6700</v>
      </c>
      <c r="G46" s="375">
        <f>'السياسة والمتابعة والتشريع'!AO48</f>
        <v>0</v>
      </c>
      <c r="H46" s="375">
        <f>'السياسة والمتابعة والتشريع'!AP48</f>
        <v>0</v>
      </c>
      <c r="I46" s="375">
        <f>'السياسة والمتابعة والتشريع'!AQ48</f>
        <v>0</v>
      </c>
      <c r="J46" s="375">
        <f>'السياسة والمتابعة والتشريع'!AR48</f>
        <v>0</v>
      </c>
      <c r="K46" s="375">
        <f>'السياسة والمتابعة والتشريع'!AS48</f>
        <v>0</v>
      </c>
      <c r="L46" s="375">
        <f>'السياسة والمتابعة والتشريع'!AT48</f>
        <v>6700</v>
      </c>
    </row>
    <row r="47" spans="1:12" ht="30" customHeight="1">
      <c r="A47" s="859"/>
      <c r="B47" s="866"/>
      <c r="C47" s="407" t="s">
        <v>50</v>
      </c>
      <c r="D47" s="407" t="str">
        <f>'السياسة والمتابعة والتشريع'!F49</f>
        <v>صوغ وصف وظيفي واضح لكل منصب.</v>
      </c>
      <c r="E47" s="560"/>
      <c r="F47" s="375">
        <f>'السياسة والمتابعة والتشريع'!AN49</f>
        <v>14750</v>
      </c>
      <c r="G47" s="375">
        <f>'السياسة والمتابعة والتشريع'!AO49</f>
        <v>0</v>
      </c>
      <c r="H47" s="375">
        <f>'السياسة والمتابعة والتشريع'!AP49</f>
        <v>0</v>
      </c>
      <c r="I47" s="375">
        <f>'السياسة والمتابعة والتشريع'!AQ49</f>
        <v>0</v>
      </c>
      <c r="J47" s="375">
        <f>'السياسة والمتابعة والتشريع'!AR49</f>
        <v>0</v>
      </c>
      <c r="K47" s="375">
        <f>'السياسة والمتابعة والتشريع'!AS49</f>
        <v>0</v>
      </c>
      <c r="L47" s="375">
        <f>'السياسة والمتابعة والتشريع'!AT49</f>
        <v>14750</v>
      </c>
    </row>
    <row r="48" spans="1:12" ht="48" customHeight="1">
      <c r="A48" s="859"/>
      <c r="B48" s="869"/>
      <c r="C48" s="407" t="s">
        <v>645</v>
      </c>
      <c r="D48" s="407" t="str">
        <f>'السياسة والمتابعة والتشريع'!F50</f>
        <v>صوغ دليل / بروتوكول عمل للتشاور حول القوانين المقترحة. </v>
      </c>
      <c r="E48" s="560"/>
      <c r="F48" s="375">
        <f>'السياسة والمتابعة والتشريع'!AN50</f>
        <v>7500</v>
      </c>
      <c r="G48" s="375">
        <f>'السياسة والمتابعة والتشريع'!AO50</f>
        <v>7500</v>
      </c>
      <c r="H48" s="375">
        <f>'السياسة والمتابعة والتشريع'!AP50</f>
        <v>0</v>
      </c>
      <c r="I48" s="375">
        <f>'السياسة والمتابعة والتشريع'!AQ50</f>
        <v>0</v>
      </c>
      <c r="J48" s="375">
        <f>'السياسة والمتابعة والتشريع'!AR50</f>
        <v>0</v>
      </c>
      <c r="K48" s="375">
        <f>'السياسة والمتابعة والتشريع'!AS50</f>
        <v>0</v>
      </c>
      <c r="L48" s="375">
        <f>'السياسة والمتابعة والتشريع'!AT50</f>
        <v>0</v>
      </c>
    </row>
    <row r="49" spans="1:12" ht="48.75" customHeight="1">
      <c r="A49" s="857">
        <v>2.3</v>
      </c>
      <c r="B49" s="857" t="s">
        <v>502</v>
      </c>
      <c r="C49" s="560" t="s">
        <v>51</v>
      </c>
      <c r="D49" s="560" t="str">
        <f>'الشفافية ومكافحة الفساد '!E9</f>
        <v>إدراج دليل عزل الفساد.</v>
      </c>
      <c r="E49" s="795" t="s">
        <v>281</v>
      </c>
      <c r="F49" s="375">
        <f>'الشفافية ومكافحة الفساد '!AL9</f>
        <v>0</v>
      </c>
      <c r="G49" s="375">
        <f>'الشفافية ومكافحة الفساد '!AM9</f>
        <v>0</v>
      </c>
      <c r="H49" s="375">
        <f>'الشفافية ومكافحة الفساد '!AN9</f>
        <v>0</v>
      </c>
      <c r="I49" s="375">
        <f>'الشفافية ومكافحة الفساد '!AO9</f>
        <v>0</v>
      </c>
      <c r="J49" s="375">
        <f>'الشفافية ومكافحة الفساد '!AP9</f>
        <v>0</v>
      </c>
      <c r="K49" s="375">
        <f>'الشفافية ومكافحة الفساد '!AQ9</f>
        <v>0</v>
      </c>
      <c r="L49" s="375">
        <f>'الشفافية ومكافحة الفساد '!AR9</f>
        <v>0</v>
      </c>
    </row>
    <row r="50" spans="1:12" ht="30" customHeight="1">
      <c r="A50" s="858"/>
      <c r="B50" s="858"/>
      <c r="C50" s="560" t="s">
        <v>52</v>
      </c>
      <c r="D50" s="560" t="str">
        <f>'الشفافية ومكافحة الفساد '!E10</f>
        <v>صوغ طريقة مراجعة القوانين من حيث المساحات القانونية التي تتيح فرصًا للفساد.</v>
      </c>
      <c r="E50" s="560"/>
      <c r="F50" s="375">
        <f>'الشفافية ومكافحة الفساد '!AL10</f>
        <v>72150</v>
      </c>
      <c r="G50" s="375">
        <f>'الشفافية ومكافحة الفساد '!AM10</f>
        <v>0</v>
      </c>
      <c r="H50" s="375">
        <f>'الشفافية ومكافحة الفساد '!AN10</f>
        <v>0</v>
      </c>
      <c r="I50" s="375">
        <f>'الشفافية ومكافحة الفساد '!AO10</f>
        <v>0</v>
      </c>
      <c r="J50" s="375">
        <f>'الشفافية ومكافحة الفساد '!AP10</f>
        <v>0</v>
      </c>
      <c r="K50" s="375">
        <f>'الشفافية ومكافحة الفساد '!AQ10</f>
        <v>0</v>
      </c>
      <c r="L50" s="375">
        <f>'الشفافية ومكافحة الفساد '!AR10</f>
        <v>72150</v>
      </c>
    </row>
    <row r="51" spans="1:12" ht="37.5" customHeight="1">
      <c r="A51" s="847">
        <v>2.4</v>
      </c>
      <c r="B51" s="846" t="s">
        <v>531</v>
      </c>
      <c r="C51" s="407" t="s">
        <v>646</v>
      </c>
      <c r="D51" s="407" t="str">
        <f>'السياسة والمتابعة والتشريع'!F52</f>
        <v>تبني اللوائح الداخلية لتسهيل إجراء المشاورات. </v>
      </c>
      <c r="E51" s="560"/>
      <c r="F51" s="375">
        <f>'السياسة والمتابعة والتشريع'!AN52</f>
        <v>9000</v>
      </c>
      <c r="G51" s="375">
        <f>'السياسة والمتابعة والتشريع'!AO52</f>
        <v>0</v>
      </c>
      <c r="H51" s="375">
        <f>'السياسة والمتابعة والتشريع'!AP52</f>
        <v>0</v>
      </c>
      <c r="I51" s="375">
        <f>'السياسة والمتابعة والتشريع'!AQ52</f>
        <v>0</v>
      </c>
      <c r="J51" s="375">
        <f>'السياسة والمتابعة والتشريع'!AR52</f>
        <v>0</v>
      </c>
      <c r="K51" s="375">
        <f>'السياسة والمتابعة والتشريع'!AS52</f>
        <v>0</v>
      </c>
      <c r="L51" s="375">
        <f>'السياسة والمتابعة والتشريع'!AT52</f>
        <v>9000</v>
      </c>
    </row>
    <row r="52" spans="1:12" ht="29.25" customHeight="1">
      <c r="A52" s="848"/>
      <c r="B52" s="846"/>
      <c r="C52" s="407" t="s">
        <v>647</v>
      </c>
      <c r="D52" s="407" t="str">
        <f>'السياسة والمتابعة والتشريع'!F53</f>
        <v> تأسيس قاعدة بيانات للجهات المعنية. </v>
      </c>
      <c r="E52" s="795" t="s">
        <v>648</v>
      </c>
      <c r="F52" s="375">
        <f>'السياسة والمتابعة والتشريع'!AN53</f>
        <v>0</v>
      </c>
      <c r="G52" s="375">
        <f>'السياسة والمتابعة والتشريع'!AO53</f>
        <v>0</v>
      </c>
      <c r="H52" s="375">
        <f>'السياسة والمتابعة والتشريع'!AP53</f>
        <v>0</v>
      </c>
      <c r="I52" s="375">
        <f>'السياسة والمتابعة والتشريع'!AQ53</f>
        <v>0</v>
      </c>
      <c r="J52" s="375">
        <f>'السياسة والمتابعة والتشريع'!AR53</f>
        <v>0</v>
      </c>
      <c r="K52" s="375">
        <f>'السياسة والمتابعة والتشريع'!AS53</f>
        <v>0</v>
      </c>
      <c r="L52" s="375">
        <f>'السياسة والمتابعة والتشريع'!AT53</f>
        <v>0</v>
      </c>
    </row>
    <row r="53" spans="1:12" ht="32.25" customHeight="1">
      <c r="A53" s="848"/>
      <c r="B53" s="846"/>
      <c r="C53" s="407" t="s">
        <v>86</v>
      </c>
      <c r="D53" s="407" t="str">
        <f>'السياسة والمتابعة والتشريع'!F54</f>
        <v>صوغ دليل / بروتوكول عمل للتشاور حول القوانين المقترحة.</v>
      </c>
      <c r="E53" s="795" t="s">
        <v>649</v>
      </c>
      <c r="F53" s="375">
        <f>'السياسة والمتابعة والتشريع'!AN54</f>
        <v>0</v>
      </c>
      <c r="G53" s="375">
        <f>'السياسة والمتابعة والتشريع'!AO54</f>
        <v>0</v>
      </c>
      <c r="H53" s="375">
        <f>'السياسة والمتابعة والتشريع'!AP54</f>
        <v>0</v>
      </c>
      <c r="I53" s="375">
        <f>'السياسة والمتابعة والتشريع'!AQ54</f>
        <v>0</v>
      </c>
      <c r="J53" s="375">
        <f>'السياسة والمتابعة والتشريع'!AR54</f>
        <v>0</v>
      </c>
      <c r="K53" s="375">
        <f>'السياسة والمتابعة والتشريع'!AS54</f>
        <v>0</v>
      </c>
      <c r="L53" s="375">
        <f>'السياسة والمتابعة والتشريع'!AT54</f>
        <v>0</v>
      </c>
    </row>
    <row r="54" spans="1:12" ht="25.5" customHeight="1">
      <c r="A54" s="849"/>
      <c r="B54" s="846"/>
      <c r="C54" s="407" t="s">
        <v>181</v>
      </c>
      <c r="D54" s="407" t="str">
        <f>'السياسة والمتابعة والتشريع'!F55</f>
        <v>تدريب الأشخاص المسؤولين عن الاستشارات.</v>
      </c>
      <c r="E54" s="560"/>
      <c r="F54" s="375">
        <f>'السياسة والمتابعة والتشريع'!AN55</f>
        <v>9120</v>
      </c>
      <c r="G54" s="375">
        <f>'السياسة والمتابعة والتشريع'!AO55</f>
        <v>0</v>
      </c>
      <c r="H54" s="375">
        <f>'السياسة والمتابعة والتشريع'!AP55</f>
        <v>0</v>
      </c>
      <c r="I54" s="375">
        <f>'السياسة والمتابعة والتشريع'!AQ55</f>
        <v>0</v>
      </c>
      <c r="J54" s="375">
        <f>'السياسة والمتابعة والتشريع'!AR55</f>
        <v>0</v>
      </c>
      <c r="K54" s="375">
        <f>'السياسة والمتابعة والتشريع'!AS55</f>
        <v>0</v>
      </c>
      <c r="L54" s="375">
        <f>'السياسة والمتابعة والتشريع'!AT55</f>
        <v>9120</v>
      </c>
    </row>
    <row r="55" spans="1:12" ht="12.75">
      <c r="A55" s="845">
        <v>2.4</v>
      </c>
      <c r="B55" s="846" t="s">
        <v>532</v>
      </c>
      <c r="C55" s="407" t="s">
        <v>53</v>
      </c>
      <c r="D55" s="407" t="str">
        <f>'السياسة والمتابعة والتشريع'!F56</f>
        <v>وثيقة تحليل فهم تقديرات أثر القوانين المقترحة.</v>
      </c>
      <c r="E55" s="560"/>
      <c r="F55" s="375">
        <f>'السياسة والمتابعة والتشريع'!AN56</f>
        <v>88000</v>
      </c>
      <c r="G55" s="375">
        <f>'السياسة والمتابعة والتشريع'!AO56</f>
        <v>0</v>
      </c>
      <c r="H55" s="375">
        <f>'السياسة والمتابعة والتشريع'!AP56</f>
        <v>0</v>
      </c>
      <c r="I55" s="375">
        <f>'السياسة والمتابعة والتشريع'!AQ56</f>
        <v>0</v>
      </c>
      <c r="J55" s="375">
        <f>'السياسة والمتابعة والتشريع'!AR56</f>
        <v>0</v>
      </c>
      <c r="K55" s="375">
        <f>'السياسة والمتابعة والتشريع'!AS56</f>
        <v>0</v>
      </c>
      <c r="L55" s="375">
        <f>'السياسة والمتابعة والتشريع'!AT56</f>
        <v>88000</v>
      </c>
    </row>
    <row r="56" spans="1:12" ht="12.75">
      <c r="A56" s="845"/>
      <c r="B56" s="846"/>
      <c r="C56" s="407" t="s">
        <v>54</v>
      </c>
      <c r="D56" s="407" t="str">
        <f>'السياسة والمتابعة والتشريع'!F57</f>
        <v>  RIA - تبني مشروع القانون للالتزام بالتحليل المذكور.</v>
      </c>
      <c r="E56" s="560" t="str">
        <f>E53</f>
        <v>بدون تكلفة إضافية</v>
      </c>
      <c r="F56" s="375">
        <f>'السياسة والمتابعة والتشريع'!AN57</f>
        <v>0</v>
      </c>
      <c r="G56" s="375">
        <f>'السياسة والمتابعة والتشريع'!AO57</f>
        <v>0</v>
      </c>
      <c r="H56" s="375">
        <f>'السياسة والمتابعة والتشريع'!AP57</f>
        <v>0</v>
      </c>
      <c r="I56" s="375">
        <f>'السياسة والمتابعة والتشريع'!AQ57</f>
        <v>0</v>
      </c>
      <c r="J56" s="375">
        <f>'السياسة والمتابعة والتشريع'!AR57</f>
        <v>0</v>
      </c>
      <c r="K56" s="375">
        <f>'السياسة والمتابعة والتشريع'!AS57</f>
        <v>0</v>
      </c>
      <c r="L56" s="375">
        <f>'السياسة والمتابعة والتشريع'!AT57</f>
        <v>0</v>
      </c>
    </row>
    <row r="57" spans="1:12" ht="63" customHeight="1">
      <c r="A57" s="845"/>
      <c r="B57" s="846"/>
      <c r="C57" s="407" t="s">
        <v>55</v>
      </c>
      <c r="D57" s="407" t="str">
        <f>'السياسة والمتابعة والتشريع'!F58</f>
        <v>والانتهاء من تنفيذ / اختبار X RIA بموجب مشروع القانون الذي تم تبنيه ( تطبيق تجريبي في × مؤسسة لعدد × من القضايا). </v>
      </c>
      <c r="E57" s="795" t="s">
        <v>33</v>
      </c>
      <c r="F57" s="375">
        <f>'السياسة والمتابعة والتشريع'!AN58</f>
        <v>184000</v>
      </c>
      <c r="G57" s="375">
        <f>'السياسة والمتابعة والتشريع'!AO58</f>
        <v>0</v>
      </c>
      <c r="H57" s="375">
        <f>'السياسة والمتابعة والتشريع'!AP58</f>
        <v>0</v>
      </c>
      <c r="I57" s="375">
        <f>'السياسة والمتابعة والتشريع'!AQ58</f>
        <v>0</v>
      </c>
      <c r="J57" s="375">
        <f>'السياسة والمتابعة والتشريع'!AR58</f>
        <v>0</v>
      </c>
      <c r="K57" s="375">
        <f>'السياسة والمتابعة والتشريع'!AS58</f>
        <v>0</v>
      </c>
      <c r="L57" s="375">
        <f>'السياسة والمتابعة والتشريع'!AT58</f>
        <v>184000</v>
      </c>
    </row>
    <row r="58" spans="1:12" ht="39" customHeight="1">
      <c r="A58" s="845">
        <v>2.5</v>
      </c>
      <c r="B58" s="846" t="s">
        <v>1221</v>
      </c>
      <c r="C58" s="407" t="s">
        <v>88</v>
      </c>
      <c r="D58" s="407" t="str">
        <f>'السياسة والمتابعة والتشريع'!F59</f>
        <v>تدريب الوحدات المركزية على صوغ القوانين</v>
      </c>
      <c r="E58" s="560"/>
      <c r="F58" s="375">
        <f>'السياسة والمتابعة والتشريع'!AN59</f>
        <v>30825</v>
      </c>
      <c r="G58" s="375">
        <f>'السياسة والمتابعة والتشريع'!AO59</f>
        <v>0</v>
      </c>
      <c r="H58" s="375">
        <f>'السياسة والمتابعة والتشريع'!AP59</f>
        <v>0</v>
      </c>
      <c r="I58" s="375">
        <f>'السياسة والمتابعة والتشريع'!AQ59</f>
        <v>0</v>
      </c>
      <c r="J58" s="375">
        <f>'السياسة والمتابعة والتشريع'!AR59</f>
        <v>0</v>
      </c>
      <c r="K58" s="375">
        <f>'السياسة والمتابعة والتشريع'!AS59</f>
        <v>0</v>
      </c>
      <c r="L58" s="375">
        <f>'السياسة والمتابعة والتشريع'!AT59</f>
        <v>30825</v>
      </c>
    </row>
    <row r="59" spans="1:12" ht="39.75" customHeight="1">
      <c r="A59" s="845"/>
      <c r="B59" s="846"/>
      <c r="C59" s="407" t="s">
        <v>89</v>
      </c>
      <c r="D59" s="407" t="str">
        <f>'السياسة والمتابعة والتشريع'!F60</f>
        <v>تدريب الوزارات على صوغ القوانين</v>
      </c>
      <c r="E59" s="560"/>
      <c r="F59" s="375">
        <f>'السياسة والمتابعة والتشريع'!AN60</f>
        <v>5190</v>
      </c>
      <c r="G59" s="375">
        <f>'السياسة والمتابعة والتشريع'!AO60</f>
        <v>0</v>
      </c>
      <c r="H59" s="375">
        <f>'السياسة والمتابعة والتشريع'!AP60</f>
        <v>0</v>
      </c>
      <c r="I59" s="375">
        <f>'السياسة والمتابعة والتشريع'!AQ60</f>
        <v>0</v>
      </c>
      <c r="J59" s="375">
        <f>'السياسة والمتابعة والتشريع'!AR60</f>
        <v>0</v>
      </c>
      <c r="K59" s="375">
        <f>'السياسة والمتابعة والتشريع'!AS60</f>
        <v>0</v>
      </c>
      <c r="L59" s="375">
        <f>'السياسة والمتابعة والتشريع'!AT60</f>
        <v>5190</v>
      </c>
    </row>
    <row r="60" spans="1:12" ht="39.75" customHeight="1">
      <c r="A60" s="845"/>
      <c r="B60" s="846"/>
      <c r="C60" s="407" t="s">
        <v>90</v>
      </c>
      <c r="D60" s="407" t="str">
        <f>'السياسة والمتابعة والتشريع'!F61</f>
        <v>تدريب المؤسسات المستقلة على صوغ القوانين </v>
      </c>
      <c r="E60" s="560"/>
      <c r="F60" s="375">
        <f>'السياسة والمتابعة والتشريع'!AN61</f>
        <v>3095</v>
      </c>
      <c r="G60" s="375">
        <f>'السياسة والمتابعة والتشريع'!AO61</f>
        <v>0</v>
      </c>
      <c r="H60" s="375">
        <f>'السياسة والمتابعة والتشريع'!AP61</f>
        <v>0</v>
      </c>
      <c r="I60" s="375">
        <f>'السياسة والمتابعة والتشريع'!AQ61</f>
        <v>0</v>
      </c>
      <c r="J60" s="375">
        <f>'السياسة والمتابعة والتشريع'!AR61</f>
        <v>0</v>
      </c>
      <c r="K60" s="375">
        <f>'السياسة والمتابعة والتشريع'!AS61</f>
        <v>0</v>
      </c>
      <c r="L60" s="375">
        <f>'السياسة والمتابعة والتشريع'!AT61</f>
        <v>3095</v>
      </c>
    </row>
    <row r="61" spans="1:12" ht="25.5">
      <c r="A61" s="845">
        <v>2.6</v>
      </c>
      <c r="B61" s="846" t="s">
        <v>533</v>
      </c>
      <c r="C61" s="407" t="s">
        <v>91</v>
      </c>
      <c r="D61" s="407" t="str">
        <f>'السياسة والمتابعة والتشريع'!F62</f>
        <v>التزام (تعليمات) مركز المطبوعات الرسمية بطباعة القوانين الموحدة.</v>
      </c>
      <c r="E61" s="560"/>
      <c r="F61" s="375">
        <f>'السياسة والمتابعة والتشريع'!AN62</f>
        <v>25000</v>
      </c>
      <c r="G61" s="375">
        <f>'السياسة والمتابعة والتشريع'!AO62</f>
        <v>0</v>
      </c>
      <c r="H61" s="375">
        <f>'السياسة والمتابعة والتشريع'!AP62</f>
        <v>0</v>
      </c>
      <c r="I61" s="375">
        <f>'السياسة والمتابعة والتشريع'!AQ62</f>
        <v>0</v>
      </c>
      <c r="J61" s="375">
        <f>'السياسة والمتابعة والتشريع'!AR62</f>
        <v>0</v>
      </c>
      <c r="K61" s="375">
        <f>'السياسة والمتابعة والتشريع'!AS62</f>
        <v>0</v>
      </c>
      <c r="L61" s="375">
        <f>'السياسة والمتابعة والتشريع'!AT62</f>
        <v>25000</v>
      </c>
    </row>
    <row r="62" spans="1:12" ht="25.5">
      <c r="A62" s="845"/>
      <c r="B62" s="846"/>
      <c r="C62" s="407" t="s">
        <v>92</v>
      </c>
      <c r="D62" s="407" t="str">
        <f>'السياسة والمتابعة والتشريع'!F63</f>
        <v>سيتم نشر القوانين الموحدة على الموقع الإلكتروني لكل مؤسسة بحلول 2015. </v>
      </c>
      <c r="E62" s="560"/>
      <c r="F62" s="375">
        <f>'السياسة والمتابعة والتشريع'!AN63</f>
        <v>190000</v>
      </c>
      <c r="G62" s="375">
        <f>'السياسة والمتابعة والتشريع'!AO63</f>
        <v>0</v>
      </c>
      <c r="H62" s="375">
        <f>'السياسة والمتابعة والتشريع'!AP63</f>
        <v>0</v>
      </c>
      <c r="I62" s="375">
        <f>'السياسة والمتابعة والتشريع'!AQ63</f>
        <v>0</v>
      </c>
      <c r="J62" s="375">
        <f>'السياسة والمتابعة والتشريع'!AR63</f>
        <v>0</v>
      </c>
      <c r="K62" s="375">
        <f>'السياسة والمتابعة والتشريع'!AS63</f>
        <v>0</v>
      </c>
      <c r="L62" s="375">
        <f>'السياسة والمتابعة والتشريع'!AT63</f>
        <v>190000</v>
      </c>
    </row>
    <row r="63" spans="1:19" ht="15.75" customHeight="1">
      <c r="A63" s="384"/>
      <c r="B63" s="850" t="s">
        <v>534</v>
      </c>
      <c r="C63" s="851"/>
      <c r="D63" s="852"/>
      <c r="E63" s="565"/>
      <c r="F63" s="385">
        <f aca="true" t="shared" si="2" ref="F63:L63">SUM(F43:F62)</f>
        <v>789330</v>
      </c>
      <c r="G63" s="385">
        <f t="shared" si="2"/>
        <v>7500</v>
      </c>
      <c r="H63" s="385">
        <f t="shared" si="2"/>
        <v>0</v>
      </c>
      <c r="I63" s="385">
        <f t="shared" si="2"/>
        <v>0</v>
      </c>
      <c r="J63" s="385">
        <f t="shared" si="2"/>
        <v>0</v>
      </c>
      <c r="K63" s="385">
        <f t="shared" si="2"/>
        <v>0</v>
      </c>
      <c r="L63" s="385">
        <f t="shared" si="2"/>
        <v>781830</v>
      </c>
      <c r="M63" s="489">
        <f>'السياسة والمتابعة والتشريع'!AN64+'الشفافية ومكافحة الفساد '!AL11</f>
        <v>789330</v>
      </c>
      <c r="N63" s="489">
        <f>'السياسة والمتابعة والتشريع'!AO64+'الشفافية ومكافحة الفساد '!AM11</f>
        <v>7500</v>
      </c>
      <c r="O63" s="489">
        <f>'السياسة والمتابعة والتشريع'!AP64+'الشفافية ومكافحة الفساد '!AN11</f>
        <v>0</v>
      </c>
      <c r="P63" s="489">
        <f>'السياسة والمتابعة والتشريع'!AQ64+'الشفافية ومكافحة الفساد '!AO11</f>
        <v>0</v>
      </c>
      <c r="Q63" s="489">
        <f>'السياسة والمتابعة والتشريع'!AR64+'الشفافية ومكافحة الفساد '!AP11</f>
        <v>0</v>
      </c>
      <c r="R63" s="489">
        <f>'السياسة والمتابعة والتشريع'!AS64+'الشفافية ومكافحة الفساد '!AQ11</f>
        <v>0</v>
      </c>
      <c r="S63" s="489">
        <f>'السياسة والمتابعة والتشريع'!AT64+'الشفافية ومكافحة الفساد '!AR11</f>
        <v>781830</v>
      </c>
    </row>
    <row r="64" spans="1:19" ht="46.5" customHeight="1">
      <c r="A64" s="386">
        <v>3</v>
      </c>
      <c r="B64" s="862" t="s">
        <v>1223</v>
      </c>
      <c r="C64" s="863"/>
      <c r="D64" s="863"/>
      <c r="E64" s="863"/>
      <c r="F64" s="863"/>
      <c r="G64" s="863"/>
      <c r="H64" s="863"/>
      <c r="I64" s="863"/>
      <c r="J64" s="863"/>
      <c r="K64" s="863"/>
      <c r="L64" s="864"/>
      <c r="M64" s="488">
        <f>F63-M63</f>
        <v>0</v>
      </c>
      <c r="N64" s="488">
        <f aca="true" t="shared" si="3" ref="N64:S64">G63-N63</f>
        <v>0</v>
      </c>
      <c r="O64" s="488">
        <f t="shared" si="3"/>
        <v>0</v>
      </c>
      <c r="P64" s="488">
        <f t="shared" si="3"/>
        <v>0</v>
      </c>
      <c r="Q64" s="488">
        <f t="shared" si="3"/>
        <v>0</v>
      </c>
      <c r="R64" s="488">
        <f t="shared" si="3"/>
        <v>0</v>
      </c>
      <c r="S64" s="488">
        <f t="shared" si="3"/>
        <v>0</v>
      </c>
    </row>
    <row r="65" spans="1:12" ht="45.75" customHeight="1">
      <c r="A65" s="845">
        <v>3.1</v>
      </c>
      <c r="B65" s="846" t="s">
        <v>1222</v>
      </c>
      <c r="C65" s="407" t="s">
        <v>22</v>
      </c>
      <c r="D65" s="407" t="str">
        <f>'السياسة والمتابعة والتشريع'!F66</f>
        <v>تحليل تقييم الموقف الراهن بخصوص مراقبة استراتيجيات القطاعات والاستراتيجيات الشاملة  </v>
      </c>
      <c r="E65" s="560"/>
      <c r="F65" s="375">
        <f>'السياسة والمتابعة والتشريع'!AN66</f>
        <v>62500</v>
      </c>
      <c r="G65" s="375">
        <f>'السياسة والمتابعة والتشريع'!AO66</f>
        <v>0</v>
      </c>
      <c r="H65" s="375">
        <f>'السياسة والمتابعة والتشريع'!AP66</f>
        <v>0</v>
      </c>
      <c r="I65" s="375">
        <f>'السياسة والمتابعة والتشريع'!AQ66</f>
        <v>0</v>
      </c>
      <c r="J65" s="375">
        <f>'السياسة والمتابعة والتشريع'!AR66</f>
        <v>0</v>
      </c>
      <c r="K65" s="375">
        <f>'السياسة والمتابعة والتشريع'!AS66</f>
        <v>0</v>
      </c>
      <c r="L65" s="375">
        <f>'السياسة والمتابعة والتشريع'!AT66</f>
        <v>62500</v>
      </c>
    </row>
    <row r="66" spans="1:12" ht="45.75" customHeight="1">
      <c r="A66" s="845"/>
      <c r="B66" s="846"/>
      <c r="C66" s="407" t="s">
        <v>23</v>
      </c>
      <c r="D66" s="407" t="str">
        <f>'السياسة والمتابعة والتشريع'!F67</f>
        <v>مراجعة الأساس القانوني المتعلق بمراقبة استراتيجيات القطاعات والاستراتيجيات الشاملة</v>
      </c>
      <c r="E66" s="560"/>
      <c r="F66" s="375">
        <f>'السياسة والمتابعة والتشريع'!AN67</f>
        <v>59000</v>
      </c>
      <c r="G66" s="375">
        <f>'السياسة والمتابعة والتشريع'!AO67</f>
        <v>0</v>
      </c>
      <c r="H66" s="375">
        <f>'السياسة والمتابعة والتشريع'!AP67</f>
        <v>0</v>
      </c>
      <c r="I66" s="375">
        <f>'السياسة والمتابعة والتشريع'!AQ67</f>
        <v>0</v>
      </c>
      <c r="J66" s="375">
        <f>'السياسة والمتابعة والتشريع'!AR67</f>
        <v>0</v>
      </c>
      <c r="K66" s="375">
        <f>'السياسة والمتابعة والتشريع'!AS67</f>
        <v>0</v>
      </c>
      <c r="L66" s="375">
        <f>'السياسة والمتابعة والتشريع'!AT67</f>
        <v>59000</v>
      </c>
    </row>
    <row r="67" spans="1:12" ht="40.5" customHeight="1">
      <c r="A67" s="845"/>
      <c r="B67" s="846"/>
      <c r="C67" s="407" t="s">
        <v>24</v>
      </c>
      <c r="D67" s="407" t="str">
        <f>'السياسة والمتابعة والتشريع'!F68</f>
        <v>تحليل تقييم الموقف الراهن للمراقبة والتقييم (الهياكل والموارد البشرية)</v>
      </c>
      <c r="E67" s="560"/>
      <c r="F67" s="375">
        <f>'السياسة والمتابعة والتشريع'!AN68</f>
        <v>91000</v>
      </c>
      <c r="G67" s="375">
        <f>'السياسة والمتابعة والتشريع'!AO68</f>
        <v>0</v>
      </c>
      <c r="H67" s="375">
        <f>'السياسة والمتابعة والتشريع'!AP68</f>
        <v>0</v>
      </c>
      <c r="I67" s="375">
        <f>'السياسة والمتابعة والتشريع'!AQ68</f>
        <v>0</v>
      </c>
      <c r="J67" s="375">
        <f>'السياسة والمتابعة والتشريع'!AR68</f>
        <v>0</v>
      </c>
      <c r="K67" s="375">
        <f>'السياسة والمتابعة والتشريع'!AS68</f>
        <v>0</v>
      </c>
      <c r="L67" s="375">
        <f>'السياسة والمتابعة والتشريع'!AT68</f>
        <v>91000</v>
      </c>
    </row>
    <row r="68" spans="1:12" ht="39" customHeight="1">
      <c r="A68" s="845"/>
      <c r="B68" s="846"/>
      <c r="C68" s="407" t="s">
        <v>97</v>
      </c>
      <c r="D68" s="407" t="str">
        <f>'السياسة والمتابعة والتشريع'!F69</f>
        <v>تحليل تقييم الإطار القانوني والطريقة الحالية للمراقبة والتقييم (الهياكل والموارد البشرية) </v>
      </c>
      <c r="E68" s="560"/>
      <c r="F68" s="375">
        <f>'السياسة والمتابعة والتشريع'!AN69</f>
        <v>42000</v>
      </c>
      <c r="G68" s="375">
        <f>'السياسة والمتابعة والتشريع'!AO69</f>
        <v>0</v>
      </c>
      <c r="H68" s="375">
        <f>'السياسة والمتابعة والتشريع'!AP69</f>
        <v>0</v>
      </c>
      <c r="I68" s="375">
        <f>'السياسة والمتابعة والتشريع'!AQ69</f>
        <v>0</v>
      </c>
      <c r="J68" s="375">
        <f>'السياسة والمتابعة والتشريع'!AR69</f>
        <v>0</v>
      </c>
      <c r="K68" s="375">
        <f>'السياسة والمتابعة والتشريع'!AS69</f>
        <v>0</v>
      </c>
      <c r="L68" s="375">
        <f>'السياسة والمتابعة والتشريع'!AT69</f>
        <v>42000</v>
      </c>
    </row>
    <row r="69" spans="1:12" ht="36" customHeight="1">
      <c r="A69" s="845"/>
      <c r="B69" s="846"/>
      <c r="C69" s="407" t="s">
        <v>98</v>
      </c>
      <c r="D69" s="407" t="str">
        <f>'السياسة والمتابعة والتشريع'!F70</f>
        <v>تحليل الاحتياجات التدريبية لهياكل المراقبة والتقييم. </v>
      </c>
      <c r="E69" s="560"/>
      <c r="F69" s="375">
        <f>'السياسة والمتابعة والتشريع'!AN70</f>
        <v>72250</v>
      </c>
      <c r="G69" s="375">
        <f>'السياسة والمتابعة والتشريع'!AO70</f>
        <v>0</v>
      </c>
      <c r="H69" s="375">
        <f>'السياسة والمتابعة والتشريع'!AP70</f>
        <v>0</v>
      </c>
      <c r="I69" s="375">
        <f>'السياسة والمتابعة والتشريع'!AQ70</f>
        <v>0</v>
      </c>
      <c r="J69" s="375">
        <f>'السياسة والمتابعة والتشريع'!AR70</f>
        <v>0</v>
      </c>
      <c r="K69" s="375">
        <f>'السياسة والمتابعة والتشريع'!AS70</f>
        <v>0</v>
      </c>
      <c r="L69" s="375">
        <f>'السياسة والمتابعة والتشريع'!AT70</f>
        <v>72250</v>
      </c>
    </row>
    <row r="70" spans="1:12" ht="34.5" customHeight="1">
      <c r="A70" s="845"/>
      <c r="B70" s="846"/>
      <c r="C70" s="407" t="s">
        <v>99</v>
      </c>
      <c r="D70" s="407" t="str">
        <f>'السياسة والمتابعة والتشريع'!F71</f>
        <v>تدريب موظفي وحدات المراقبة التابعة لمكتب رئيس الوزراء والوزارات المباشرة </v>
      </c>
      <c r="E70" s="560"/>
      <c r="F70" s="375">
        <f>'السياسة والمتابعة والتشريع'!AN71</f>
        <v>0</v>
      </c>
      <c r="G70" s="375">
        <f>'السياسة والمتابعة والتشريع'!AO71</f>
        <v>0</v>
      </c>
      <c r="H70" s="375">
        <f>'السياسة والمتابعة والتشريع'!AP71</f>
        <v>0</v>
      </c>
      <c r="I70" s="375">
        <f>'السياسة والمتابعة والتشريع'!AQ71</f>
        <v>0</v>
      </c>
      <c r="J70" s="375">
        <f>'السياسة والمتابعة والتشريع'!AR71</f>
        <v>0</v>
      </c>
      <c r="K70" s="375">
        <f>'السياسة والمتابعة والتشريع'!AS71</f>
        <v>0</v>
      </c>
      <c r="L70" s="375">
        <f>'السياسة والمتابعة والتشريع'!AT71</f>
        <v>0</v>
      </c>
    </row>
    <row r="71" spans="1:12" ht="99" customHeight="1">
      <c r="A71" s="845">
        <v>3.2</v>
      </c>
      <c r="B71" s="846" t="s">
        <v>1224</v>
      </c>
      <c r="C71" s="407" t="s">
        <v>25</v>
      </c>
      <c r="D71" s="407" t="str">
        <f>'السياسة والمتابعة والتشريع'!F72</f>
        <v>طباعة التقارير السنوية للوزارات المباشرة لتنفيذ الاستراتيجيات القطاعية / الشاملة، والاستراتيجية الوطنية للتنمية والتكامل بالإضافة إلى DPPFFA. </v>
      </c>
      <c r="E71" s="560"/>
      <c r="F71" s="375">
        <f>'السياسة والمتابعة والتشريع'!AN72</f>
        <v>144000</v>
      </c>
      <c r="G71" s="375">
        <f>'السياسة والمتابعة والتشريع'!AO72</f>
        <v>0</v>
      </c>
      <c r="H71" s="375">
        <f>'السياسة والمتابعة والتشريع'!AP72</f>
        <v>0</v>
      </c>
      <c r="I71" s="375">
        <f>'السياسة والمتابعة والتشريع'!AQ72</f>
        <v>0</v>
      </c>
      <c r="J71" s="375">
        <f>'السياسة والمتابعة والتشريع'!AR72</f>
        <v>0</v>
      </c>
      <c r="K71" s="375">
        <f>'السياسة والمتابعة والتشريع'!AS72</f>
        <v>0</v>
      </c>
      <c r="L71" s="375">
        <f>'السياسة والمتابعة والتشريع'!AT72</f>
        <v>144000</v>
      </c>
    </row>
    <row r="72" spans="1:12" ht="60.75" customHeight="1">
      <c r="A72" s="845"/>
      <c r="B72" s="846"/>
      <c r="C72" s="407" t="s">
        <v>26</v>
      </c>
      <c r="D72" s="407" t="str">
        <f>'السياسة والمتابعة والتشريع'!F73</f>
        <v>صوغ الإطار القانوني الجديد لنظام المراقبة والتقييم. </v>
      </c>
      <c r="E72" s="560"/>
      <c r="F72" s="375">
        <f>'السياسة والمتابعة والتشريع'!AN73</f>
        <v>69500</v>
      </c>
      <c r="G72" s="375">
        <f>'السياسة والمتابعة والتشريع'!AO73</f>
        <v>0</v>
      </c>
      <c r="H72" s="375">
        <f>'السياسة والمتابعة والتشريع'!AP73</f>
        <v>0</v>
      </c>
      <c r="I72" s="375">
        <f>'السياسة والمتابعة والتشريع'!AQ73</f>
        <v>0</v>
      </c>
      <c r="J72" s="375">
        <f>'السياسة والمتابعة والتشريع'!AR73</f>
        <v>0</v>
      </c>
      <c r="K72" s="375">
        <f>'السياسة والمتابعة والتشريع'!AS73</f>
        <v>0</v>
      </c>
      <c r="L72" s="375">
        <f>'السياسة والمتابعة والتشريع'!AT73</f>
        <v>69500</v>
      </c>
    </row>
    <row r="73" spans="1:12" ht="36.75" customHeight="1">
      <c r="A73" s="845"/>
      <c r="B73" s="846"/>
      <c r="C73" s="407" t="s">
        <v>56</v>
      </c>
      <c r="D73" s="407" t="str">
        <f>'السياسة والمتابعة والتشريع'!F74</f>
        <v>مراجعة هياكل الوزارات في ضوء تطبيق نظام المراقبة والتقييم</v>
      </c>
      <c r="E73" s="795" t="s">
        <v>650</v>
      </c>
      <c r="F73" s="375">
        <f>'السياسة والمتابعة والتشريع'!AN74</f>
        <v>0</v>
      </c>
      <c r="G73" s="375">
        <f>'السياسة والمتابعة والتشريع'!AO74</f>
        <v>0</v>
      </c>
      <c r="H73" s="375">
        <f>'السياسة والمتابعة والتشريع'!AP74</f>
        <v>0</v>
      </c>
      <c r="I73" s="375">
        <f>'السياسة والمتابعة والتشريع'!AQ74</f>
        <v>0</v>
      </c>
      <c r="J73" s="375">
        <f>'السياسة والمتابعة والتشريع'!AR74</f>
        <v>0</v>
      </c>
      <c r="K73" s="375">
        <f>'السياسة والمتابعة والتشريع'!AS74</f>
        <v>0</v>
      </c>
      <c r="L73" s="375">
        <f>'السياسة والمتابعة والتشريع'!AT74</f>
        <v>0</v>
      </c>
    </row>
    <row r="74" spans="1:12" ht="56.25" customHeight="1">
      <c r="A74" s="845"/>
      <c r="B74" s="846"/>
      <c r="C74" s="407" t="s">
        <v>57</v>
      </c>
      <c r="D74" s="407" t="str">
        <f>'السياسة والمتابعة والتشريع'!F75</f>
        <v>تأسيس شبكة المراقبة والتقييم وبناء القدرات المتعلقة بهما (التدريب) </v>
      </c>
      <c r="E74" s="795" t="s">
        <v>571</v>
      </c>
      <c r="F74" s="375">
        <f>'السياسة والمتابعة والتشريع'!AN75</f>
        <v>0</v>
      </c>
      <c r="G74" s="375">
        <f>'السياسة والمتابعة والتشريع'!AO75</f>
        <v>0</v>
      </c>
      <c r="H74" s="375">
        <f>'السياسة والمتابعة والتشريع'!AP75</f>
        <v>0</v>
      </c>
      <c r="I74" s="375">
        <f>'السياسة والمتابعة والتشريع'!AQ75</f>
        <v>0</v>
      </c>
      <c r="J74" s="375">
        <f>'السياسة والمتابعة والتشريع'!AR75</f>
        <v>0</v>
      </c>
      <c r="K74" s="375">
        <f>'السياسة والمتابعة والتشريع'!AS75</f>
        <v>0</v>
      </c>
      <c r="L74" s="375">
        <f>'السياسة والمتابعة والتشريع'!AT75</f>
        <v>0</v>
      </c>
    </row>
    <row r="75" spans="1:12" ht="45" customHeight="1">
      <c r="A75" s="845">
        <v>3.3</v>
      </c>
      <c r="B75" s="846" t="s">
        <v>1225</v>
      </c>
      <c r="C75" s="407" t="s">
        <v>126</v>
      </c>
      <c r="D75" s="407" t="str">
        <f>'السياسة والمتابعة والتشريع'!F76</f>
        <v>دليل مراقبة الاستراتيجيات القطاعية / الشاملة (EMP) ودليل التدريب للإدارة (ToT)</v>
      </c>
      <c r="E75" s="560"/>
      <c r="F75" s="375">
        <f>'السياسة والمتابعة والتشريع'!AN76</f>
        <v>61500</v>
      </c>
      <c r="G75" s="375">
        <f>'السياسة والمتابعة والتشريع'!AO76</f>
        <v>0</v>
      </c>
      <c r="H75" s="375">
        <f>'السياسة والمتابعة والتشريع'!AP76</f>
        <v>0</v>
      </c>
      <c r="I75" s="375">
        <f>'السياسة والمتابعة والتشريع'!AQ76</f>
        <v>0</v>
      </c>
      <c r="J75" s="375">
        <f>'السياسة والمتابعة والتشريع'!AR76</f>
        <v>61500</v>
      </c>
      <c r="K75" s="375">
        <f>'السياسة والمتابعة والتشريع'!AS76</f>
        <v>0</v>
      </c>
      <c r="L75" s="375">
        <f>'السياسة والمتابعة والتشريع'!AT76</f>
        <v>0</v>
      </c>
    </row>
    <row r="76" spans="1:12" ht="40.5" customHeight="1">
      <c r="A76" s="845"/>
      <c r="B76" s="846"/>
      <c r="C76" s="407" t="s">
        <v>127</v>
      </c>
      <c r="D76" s="407" t="str">
        <f>'السياسة والمتابعة والتشريع'!F77</f>
        <v>بناء قدرات DPPFFA على صوغ التقارير السنوية الملخصة عن تطبيق الإطار الاستراتيجي (ToT) </v>
      </c>
      <c r="E76" s="560"/>
      <c r="F76" s="375">
        <f>'السياسة والمتابعة والتشريع'!AN77</f>
        <v>11400</v>
      </c>
      <c r="G76" s="375">
        <f>'السياسة والمتابعة والتشريع'!AO77</f>
        <v>0</v>
      </c>
      <c r="H76" s="375">
        <f>'السياسة والمتابعة والتشريع'!AP77</f>
        <v>0</v>
      </c>
      <c r="I76" s="375">
        <f>'السياسة والمتابعة والتشريع'!AQ77</f>
        <v>0</v>
      </c>
      <c r="J76" s="375">
        <f>'السياسة والمتابعة والتشريع'!AR77</f>
        <v>11400</v>
      </c>
      <c r="K76" s="375">
        <f>'السياسة والمتابعة والتشريع'!AS77</f>
        <v>0</v>
      </c>
      <c r="L76" s="375">
        <f>'السياسة والمتابعة والتشريع'!AT77</f>
        <v>0</v>
      </c>
    </row>
    <row r="77" spans="1:12" ht="30" customHeight="1">
      <c r="A77" s="845"/>
      <c r="B77" s="846"/>
      <c r="C77" s="407" t="s">
        <v>128</v>
      </c>
      <c r="D77" s="407" t="str">
        <f>'السياسة والمتابعة والتشريع'!F78</f>
        <v>بناء قدرات الوزارة المباشرة على صوغ تقارير EMP  </v>
      </c>
      <c r="E77" s="560"/>
      <c r="F77" s="375">
        <f>'السياسة والمتابعة والتشريع'!AN78</f>
        <v>92800</v>
      </c>
      <c r="G77" s="375">
        <f>'السياسة والمتابعة والتشريع'!AO78</f>
        <v>0</v>
      </c>
      <c r="H77" s="375">
        <f>'السياسة والمتابعة والتشريع'!AP78</f>
        <v>0</v>
      </c>
      <c r="I77" s="375">
        <f>'السياسة والمتابعة والتشريع'!AQ78</f>
        <v>0</v>
      </c>
      <c r="J77" s="375">
        <f>'السياسة والمتابعة والتشريع'!AR78</f>
        <v>0</v>
      </c>
      <c r="K77" s="375">
        <f>'السياسة والمتابعة والتشريع'!AS78</f>
        <v>0</v>
      </c>
      <c r="L77" s="375">
        <f>'السياسة والمتابعة والتشريع'!AT78</f>
        <v>92800</v>
      </c>
    </row>
    <row r="78" spans="1:12" ht="33.75" customHeight="1">
      <c r="A78" s="845"/>
      <c r="B78" s="846"/>
      <c r="C78" s="407" t="s">
        <v>129</v>
      </c>
      <c r="D78" s="407" t="str">
        <f>'السياسة والمتابعة والتشريع'!F79</f>
        <v>صوغ طريقة مراقبة وتقييم البرنامج الحكومي  </v>
      </c>
      <c r="E78" s="560"/>
      <c r="F78" s="375">
        <f>'السياسة والمتابعة والتشريع'!AN79</f>
        <v>64780</v>
      </c>
      <c r="G78" s="375">
        <f>'السياسة والمتابعة والتشريع'!AO79</f>
        <v>0</v>
      </c>
      <c r="H78" s="375">
        <f>'السياسة والمتابعة والتشريع'!AP79</f>
        <v>0</v>
      </c>
      <c r="I78" s="375">
        <f>'السياسة والمتابعة والتشريع'!AQ79</f>
        <v>0</v>
      </c>
      <c r="J78" s="375">
        <f>'السياسة والمتابعة والتشريع'!AR79</f>
        <v>0</v>
      </c>
      <c r="K78" s="375">
        <f>'السياسة والمتابعة والتشريع'!AS79</f>
        <v>0</v>
      </c>
      <c r="L78" s="375">
        <f>'السياسة والمتابعة والتشريع'!AT79</f>
        <v>64780</v>
      </c>
    </row>
    <row r="79" spans="1:12" ht="33" customHeight="1">
      <c r="A79" s="377"/>
      <c r="B79" s="407"/>
      <c r="C79" s="407" t="s">
        <v>220</v>
      </c>
      <c r="D79" s="407" t="str">
        <f>'السياسة والمتابعة والتشريع'!F80</f>
        <v>صوغ طريقة مراقبة وتقييم تنفيذ القوانين</v>
      </c>
      <c r="E79" s="560"/>
      <c r="F79" s="375">
        <f>'السياسة والمتابعة والتشريع'!AN80</f>
        <v>80000</v>
      </c>
      <c r="G79" s="375">
        <f>'السياسة والمتابعة والتشريع'!AO80</f>
        <v>0</v>
      </c>
      <c r="H79" s="375">
        <f>'السياسة والمتابعة والتشريع'!AP80</f>
        <v>0</v>
      </c>
      <c r="I79" s="375">
        <f>'السياسة والمتابعة والتشريع'!AQ80</f>
        <v>0</v>
      </c>
      <c r="J79" s="375">
        <f>'السياسة والمتابعة والتشريع'!AR80</f>
        <v>0</v>
      </c>
      <c r="K79" s="375">
        <f>'السياسة والمتابعة والتشريع'!AS80</f>
        <v>0</v>
      </c>
      <c r="L79" s="375">
        <f>'السياسة والمتابعة والتشريع'!AT80</f>
        <v>80000</v>
      </c>
    </row>
    <row r="80" spans="1:12" ht="33" customHeight="1">
      <c r="A80" s="845">
        <v>3.4</v>
      </c>
      <c r="B80" s="846" t="s">
        <v>1226</v>
      </c>
      <c r="C80" s="407" t="s">
        <v>130</v>
      </c>
      <c r="D80" s="407" t="str">
        <f>'السياسة والمتابعة والتشريع'!F81</f>
        <v>النظام الإلكتروني لمراقبة تنفيذ البرنامج الحكومي</v>
      </c>
      <c r="E80" s="560"/>
      <c r="F80" s="375">
        <f>'السياسة والمتابعة والتشريع'!AN81</f>
        <v>12857.142857142857</v>
      </c>
      <c r="G80" s="375">
        <f>'السياسة والمتابعة والتشريع'!AO81</f>
        <v>12857.142857142857</v>
      </c>
      <c r="H80" s="375">
        <f>'السياسة والمتابعة والتشريع'!AP81</f>
        <v>0</v>
      </c>
      <c r="I80" s="375">
        <f>'السياسة والمتابعة والتشريع'!AQ81</f>
        <v>0</v>
      </c>
      <c r="J80" s="375">
        <f>'السياسة والمتابعة والتشريع'!AR81</f>
        <v>0</v>
      </c>
      <c r="K80" s="375">
        <f>'السياسة والمتابعة والتشريع'!AS81</f>
        <v>0</v>
      </c>
      <c r="L80" s="375">
        <f>'السياسة والمتابعة والتشريع'!AT81</f>
        <v>0</v>
      </c>
    </row>
    <row r="81" spans="1:12" ht="39" customHeight="1">
      <c r="A81" s="845"/>
      <c r="B81" s="846"/>
      <c r="C81" s="407" t="s">
        <v>131</v>
      </c>
      <c r="D81" s="407" t="str">
        <f>'السياسة والمتابعة والتشريع'!F82</f>
        <v>النظام الإلكتروني لمراقبة تدفق المعلومات والمراسلات</v>
      </c>
      <c r="E81" s="560"/>
      <c r="F81" s="375">
        <f>'السياسة والمتابعة والتشريع'!AN82</f>
        <v>65268.25714285715</v>
      </c>
      <c r="G81" s="375">
        <f>'السياسة والمتابعة والتشريع'!AO82</f>
        <v>65268.25714285715</v>
      </c>
      <c r="H81" s="375">
        <f>'السياسة والمتابعة والتشريع'!AP82</f>
        <v>0</v>
      </c>
      <c r="I81" s="375">
        <f>'السياسة والمتابعة والتشريع'!AQ82</f>
        <v>0</v>
      </c>
      <c r="J81" s="375">
        <f>'السياسة والمتابعة والتشريع'!AR82</f>
        <v>0</v>
      </c>
      <c r="K81" s="375">
        <f>'السياسة والمتابعة والتشريع'!AS82</f>
        <v>0</v>
      </c>
      <c r="L81" s="375">
        <f>'السياسة والمتابعة والتشريع'!AT82</f>
        <v>0</v>
      </c>
    </row>
    <row r="82" spans="1:12" ht="30" customHeight="1">
      <c r="A82" s="845"/>
      <c r="B82" s="846"/>
      <c r="C82" s="407" t="s">
        <v>132</v>
      </c>
      <c r="D82" s="407" t="str">
        <f>'السياسة والمتابعة والتشريع'!F83</f>
        <v>النظام الإلكتروني للقوانين (نظام مراقبة عملية صوغ التشريعات) </v>
      </c>
      <c r="E82" s="560"/>
      <c r="F82" s="375">
        <f>'السياسة والمتابعة والتشريع'!AN83</f>
        <v>2520</v>
      </c>
      <c r="G82" s="375">
        <f>'السياسة والمتابعة والتشريع'!AO83</f>
        <v>2520</v>
      </c>
      <c r="H82" s="375">
        <f>'السياسة والمتابعة والتشريع'!AP83</f>
        <v>0</v>
      </c>
      <c r="I82" s="375">
        <f>'السياسة والمتابعة والتشريع'!AQ83</f>
        <v>0</v>
      </c>
      <c r="J82" s="375">
        <f>'السياسة والمتابعة والتشريع'!AR83</f>
        <v>0</v>
      </c>
      <c r="K82" s="375">
        <f>'السياسة والمتابعة والتشريع'!AS83</f>
        <v>0</v>
      </c>
      <c r="L82" s="375">
        <f>'السياسة والمتابعة والتشريع'!AT83</f>
        <v>0</v>
      </c>
    </row>
    <row r="83" spans="1:12" ht="93" customHeight="1">
      <c r="A83" s="845"/>
      <c r="B83" s="846"/>
      <c r="C83" s="407" t="s">
        <v>133</v>
      </c>
      <c r="D83" s="407" t="str">
        <f>'السياسة والمتابعة والتشريع'!F84</f>
        <v>النظام الإلكتروني المتكامل للمراقبة "برج المراقبة". </v>
      </c>
      <c r="E83" s="795" t="s">
        <v>570</v>
      </c>
      <c r="F83" s="375">
        <f>'السياسة والمتابعة والتشريع'!AN84</f>
        <v>0</v>
      </c>
      <c r="G83" s="375">
        <f>'السياسة والمتابعة والتشريع'!AO84</f>
        <v>0</v>
      </c>
      <c r="H83" s="375">
        <f>'السياسة والمتابعة والتشريع'!AP84</f>
        <v>0</v>
      </c>
      <c r="I83" s="375">
        <f>'السياسة والمتابعة والتشريع'!AQ84</f>
        <v>0</v>
      </c>
      <c r="J83" s="375">
        <f>'السياسة والمتابعة والتشريع'!AR84</f>
        <v>0</v>
      </c>
      <c r="K83" s="375">
        <f>'السياسة والمتابعة والتشريع'!AS84</f>
        <v>0</v>
      </c>
      <c r="L83" s="375">
        <f>'السياسة والمتابعة والتشريع'!AT84</f>
        <v>0</v>
      </c>
    </row>
    <row r="84" spans="1:19" ht="15.75" customHeight="1">
      <c r="A84" s="384"/>
      <c r="B84" s="850" t="s">
        <v>535</v>
      </c>
      <c r="C84" s="851"/>
      <c r="D84" s="852"/>
      <c r="E84" s="565"/>
      <c r="F84" s="385">
        <f>SUM(F65:F83)</f>
        <v>931375.4</v>
      </c>
      <c r="G84" s="385">
        <f aca="true" t="shared" si="4" ref="G84:L84">SUM(G65:G83)</f>
        <v>80645.40000000001</v>
      </c>
      <c r="H84" s="385">
        <f t="shared" si="4"/>
        <v>0</v>
      </c>
      <c r="I84" s="385">
        <f t="shared" si="4"/>
        <v>0</v>
      </c>
      <c r="J84" s="385">
        <f t="shared" si="4"/>
        <v>72900</v>
      </c>
      <c r="K84" s="385">
        <f t="shared" si="4"/>
        <v>0</v>
      </c>
      <c r="L84" s="385">
        <f t="shared" si="4"/>
        <v>777830</v>
      </c>
      <c r="M84" s="489">
        <f>'السياسة والمتابعة والتشريع'!AN87</f>
        <v>931375.4</v>
      </c>
      <c r="N84" s="489">
        <f>'السياسة والمتابعة والتشريع'!AO87</f>
        <v>80645.40000000001</v>
      </c>
      <c r="O84" s="489">
        <f>'السياسة والمتابعة والتشريع'!AP87</f>
        <v>0</v>
      </c>
      <c r="P84" s="489">
        <f>'السياسة والمتابعة والتشريع'!AQ87</f>
        <v>0</v>
      </c>
      <c r="Q84" s="489">
        <f>'السياسة والمتابعة والتشريع'!AR87</f>
        <v>72900</v>
      </c>
      <c r="R84" s="489">
        <f>'السياسة والمتابعة والتشريع'!AS87</f>
        <v>0</v>
      </c>
      <c r="S84" s="489">
        <f>'السياسة والمتابعة والتشريع'!AT87</f>
        <v>777830</v>
      </c>
    </row>
    <row r="85" spans="1:19" ht="40.5" customHeight="1">
      <c r="A85" s="381">
        <v>4</v>
      </c>
      <c r="B85" s="853" t="s">
        <v>536</v>
      </c>
      <c r="C85" s="854"/>
      <c r="D85" s="855"/>
      <c r="E85" s="566"/>
      <c r="F85" s="382"/>
      <c r="G85" s="383"/>
      <c r="H85" s="383"/>
      <c r="I85" s="383"/>
      <c r="J85" s="383"/>
      <c r="K85" s="383"/>
      <c r="L85" s="383"/>
      <c r="M85" s="488">
        <f>F84-M84</f>
        <v>0</v>
      </c>
      <c r="N85" s="488">
        <f aca="true" t="shared" si="5" ref="N85:S85">G84-N84</f>
        <v>0</v>
      </c>
      <c r="O85" s="488">
        <f t="shared" si="5"/>
        <v>0</v>
      </c>
      <c r="P85" s="488">
        <f t="shared" si="5"/>
        <v>0</v>
      </c>
      <c r="Q85" s="488">
        <f t="shared" si="5"/>
        <v>0</v>
      </c>
      <c r="R85" s="488">
        <f t="shared" si="5"/>
        <v>0</v>
      </c>
      <c r="S85" s="488">
        <f t="shared" si="5"/>
        <v>0</v>
      </c>
    </row>
    <row r="86" spans="1:12" ht="25.5">
      <c r="A86" s="845">
        <v>4.1</v>
      </c>
      <c r="B86" s="846" t="s">
        <v>537</v>
      </c>
      <c r="C86" s="407" t="s">
        <v>27</v>
      </c>
      <c r="D86" s="560" t="str">
        <f>'الخدمة المدنية وإدارة الموارد ا'!E9</f>
        <v>دراسة وتحليل نقل الوظائف العامة لسوق مزودي الخدمات بالقطاع الخاص.</v>
      </c>
      <c r="E86" s="560"/>
      <c r="F86" s="375">
        <f>'الخدمة المدنية وإدارة الموارد ا'!AL9</f>
        <v>1235000</v>
      </c>
      <c r="G86" s="375">
        <f>'الخدمة المدنية وإدارة الموارد ا'!AM9</f>
        <v>0</v>
      </c>
      <c r="H86" s="375">
        <f>'الخدمة المدنية وإدارة الموارد ا'!AN9</f>
        <v>0</v>
      </c>
      <c r="I86" s="375">
        <f>'الخدمة المدنية وإدارة الموارد ا'!AO9</f>
        <v>0</v>
      </c>
      <c r="J86" s="375">
        <f>'الخدمة المدنية وإدارة الموارد ا'!AP9</f>
        <v>0</v>
      </c>
      <c r="K86" s="375">
        <f>'الخدمة المدنية وإدارة الموارد ا'!AQ9</f>
        <v>0</v>
      </c>
      <c r="L86" s="375">
        <f>'الخدمة المدنية وإدارة الموارد ا'!AR9</f>
        <v>1235000</v>
      </c>
    </row>
    <row r="87" spans="1:12" ht="25.5">
      <c r="A87" s="845"/>
      <c r="B87" s="846"/>
      <c r="C87" s="407" t="s">
        <v>58</v>
      </c>
      <c r="D87" s="560" t="str">
        <f>'الخدمة المدنية وإدارة الموارد ا'!E10</f>
        <v>تقييم (جرد) وحدات الموارد البشرية الجديدة على المستوى الوطني.</v>
      </c>
      <c r="E87" s="560"/>
      <c r="F87" s="375">
        <f>'الخدمة المدنية وإدارة الموارد ا'!AL10</f>
        <v>50000</v>
      </c>
      <c r="G87" s="375">
        <f>'الخدمة المدنية وإدارة الموارد ا'!AM10</f>
        <v>0</v>
      </c>
      <c r="H87" s="375">
        <f>'الخدمة المدنية وإدارة الموارد ا'!AN10</f>
        <v>0</v>
      </c>
      <c r="I87" s="375">
        <f>'الخدمة المدنية وإدارة الموارد ا'!AO10</f>
        <v>0</v>
      </c>
      <c r="J87" s="375">
        <f>'الخدمة المدنية وإدارة الموارد ا'!AP10</f>
        <v>0</v>
      </c>
      <c r="K87" s="375">
        <f>'الخدمة المدنية وإدارة الموارد ا'!AQ10</f>
        <v>0</v>
      </c>
      <c r="L87" s="375">
        <f>'الخدمة المدنية وإدارة الموارد ا'!AR10</f>
        <v>50000</v>
      </c>
    </row>
    <row r="88" spans="1:12" ht="25.5">
      <c r="A88" s="845"/>
      <c r="B88" s="846"/>
      <c r="C88" s="407" t="s">
        <v>143</v>
      </c>
      <c r="D88" s="560" t="str">
        <f>'الخدمة المدنية وإدارة الموارد ا'!E11</f>
        <v>تأسيس إطار وظيفي للعلاقات بين الوزارات والمؤسسات التابعة لها.  </v>
      </c>
      <c r="E88" s="560"/>
      <c r="F88" s="375">
        <f>'الخدمة المدنية وإدارة الموارد ا'!AL11</f>
        <v>541625</v>
      </c>
      <c r="G88" s="375">
        <f>'الخدمة المدنية وإدارة الموارد ا'!AM11</f>
        <v>0</v>
      </c>
      <c r="H88" s="375">
        <f>'الخدمة المدنية وإدارة الموارد ا'!AN11</f>
        <v>0</v>
      </c>
      <c r="I88" s="375">
        <f>'الخدمة المدنية وإدارة الموارد ا'!AO11</f>
        <v>50000</v>
      </c>
      <c r="J88" s="375">
        <f>'الخدمة المدنية وإدارة الموارد ا'!AP11</f>
        <v>0</v>
      </c>
      <c r="K88" s="375">
        <f>'الخدمة المدنية وإدارة الموارد ا'!AQ11</f>
        <v>0</v>
      </c>
      <c r="L88" s="375">
        <f>'الخدمة المدنية وإدارة الموارد ا'!AR11</f>
        <v>491625</v>
      </c>
    </row>
    <row r="89" spans="1:12" ht="25.5">
      <c r="A89" s="845"/>
      <c r="B89" s="846"/>
      <c r="C89" s="407" t="s">
        <v>203</v>
      </c>
      <c r="D89" s="560" t="str">
        <f>'الخدمة المدنية وإدارة الموارد ا'!E12</f>
        <v>دليل إجراءات العمليات الإدارية ونظام إدارة الوثائق في الوزارات المباشرة (IPA A.1.5).</v>
      </c>
      <c r="E89" s="560"/>
      <c r="F89" s="375">
        <f>'الخدمة المدنية وإدارة الموارد ا'!AL12</f>
        <v>500000</v>
      </c>
      <c r="G89" s="375">
        <f>'الخدمة المدنية وإدارة الموارد ا'!AM12</f>
        <v>0</v>
      </c>
      <c r="H89" s="375">
        <f>'الخدمة المدنية وإدارة الموارد ا'!AN12</f>
        <v>500000</v>
      </c>
      <c r="I89" s="375">
        <f>'الخدمة المدنية وإدارة الموارد ا'!AO12</f>
        <v>0</v>
      </c>
      <c r="J89" s="375">
        <f>'الخدمة المدنية وإدارة الموارد ا'!AP12</f>
        <v>0</v>
      </c>
      <c r="K89" s="375">
        <f>'الخدمة المدنية وإدارة الموارد ا'!AQ12</f>
        <v>0</v>
      </c>
      <c r="L89" s="375">
        <f>'الخدمة المدنية وإدارة الموارد ا'!AR12</f>
        <v>0</v>
      </c>
    </row>
    <row r="90" spans="1:12" ht="33.75" customHeight="1">
      <c r="A90" s="845">
        <v>4.2</v>
      </c>
      <c r="B90" s="846" t="s">
        <v>538</v>
      </c>
      <c r="C90" s="407" t="s">
        <v>28</v>
      </c>
      <c r="D90" s="407" t="str">
        <f>'الخدمة المدنية وإدارة الموارد ا'!E13</f>
        <v>مراجعة الإطار القانوني ذي الصلة </v>
      </c>
      <c r="E90" s="560"/>
      <c r="F90" s="375">
        <f>'الخدمة المدنية وإدارة الموارد ا'!AL13</f>
        <v>40000</v>
      </c>
      <c r="G90" s="375">
        <f>'الخدمة المدنية وإدارة الموارد ا'!AM13</f>
        <v>40000</v>
      </c>
      <c r="H90" s="375">
        <f>'الخدمة المدنية وإدارة الموارد ا'!AN13</f>
        <v>0</v>
      </c>
      <c r="I90" s="375">
        <f>'الخدمة المدنية وإدارة الموارد ا'!AO13</f>
        <v>0</v>
      </c>
      <c r="J90" s="375">
        <f>'الخدمة المدنية وإدارة الموارد ا'!AP13</f>
        <v>0</v>
      </c>
      <c r="K90" s="375">
        <f>'الخدمة المدنية وإدارة الموارد ا'!AQ13</f>
        <v>0</v>
      </c>
      <c r="L90" s="375">
        <f>'الخدمة المدنية وإدارة الموارد ا'!AR13</f>
        <v>0</v>
      </c>
    </row>
    <row r="91" spans="1:12" ht="78" customHeight="1">
      <c r="A91" s="845"/>
      <c r="B91" s="846"/>
      <c r="C91" s="407" t="s">
        <v>29</v>
      </c>
      <c r="D91" s="816" t="str">
        <f>'الخدمة المدنية وإدارة الموارد ا'!E14</f>
        <v>المراجعة الوظيفية للمؤسسات والتأقلم مع التقسيم الجديد للأقاليم.</v>
      </c>
      <c r="E91" s="560"/>
      <c r="F91" s="375">
        <f>'الخدمة المدنية وإدارة الموارد ا'!AL14</f>
        <v>30000</v>
      </c>
      <c r="G91" s="375">
        <f>'الخدمة المدنية وإدارة الموارد ا'!AM14</f>
        <v>30000</v>
      </c>
      <c r="H91" s="375">
        <f>'الخدمة المدنية وإدارة الموارد ا'!AN14</f>
        <v>0</v>
      </c>
      <c r="I91" s="375">
        <f>'الخدمة المدنية وإدارة الموارد ا'!AO14</f>
        <v>0</v>
      </c>
      <c r="J91" s="375">
        <f>'الخدمة المدنية وإدارة الموارد ا'!AP14</f>
        <v>0</v>
      </c>
      <c r="K91" s="375">
        <f>'الخدمة المدنية وإدارة الموارد ا'!AQ14</f>
        <v>0</v>
      </c>
      <c r="L91" s="375">
        <f>'الخدمة المدنية وإدارة الموارد ا'!AR14</f>
        <v>0</v>
      </c>
    </row>
    <row r="92" spans="1:12" ht="51">
      <c r="A92" s="845">
        <v>4.3</v>
      </c>
      <c r="B92" s="846" t="s">
        <v>492</v>
      </c>
      <c r="C92" s="407" t="s">
        <v>59</v>
      </c>
      <c r="D92" s="816" t="str">
        <f>'اللامركزية '!E9</f>
        <v>إعداد قائمة وظائف الوحدات الحكومية المحلية والنموذج الهيكلي لتنظيم البلديات وتصنيف المناصب الوظيفية وتنفيذ برنامج تدريب الوحدات الحكومية المحلية (IPA A 1.6)</v>
      </c>
      <c r="E92" s="560"/>
      <c r="F92" s="375">
        <f>'اللامركزية '!AL9</f>
        <v>350000</v>
      </c>
      <c r="G92" s="375">
        <f>'اللامركزية '!AM9</f>
        <v>0</v>
      </c>
      <c r="H92" s="375">
        <f>'اللامركزية '!AN9</f>
        <v>300000</v>
      </c>
      <c r="I92" s="375">
        <f>'اللامركزية '!AO9</f>
        <v>50000</v>
      </c>
      <c r="J92" s="375">
        <f>'اللامركزية '!AP9</f>
        <v>0</v>
      </c>
      <c r="K92" s="375">
        <f>'اللامركزية '!AQ9</f>
        <v>0</v>
      </c>
      <c r="L92" s="375">
        <f>'اللامركزية '!AR9</f>
        <v>0</v>
      </c>
    </row>
    <row r="93" spans="1:12" ht="38.25">
      <c r="A93" s="845"/>
      <c r="B93" s="846"/>
      <c r="C93" s="407" t="s">
        <v>175</v>
      </c>
      <c r="D93" s="816" t="str">
        <f>'اللامركزية '!E10</f>
        <v>تصميم نموذج الهيكل الجديد للوحدات الحكومية المحلية والمساعدة في تأسيس هياكل جديدة (مساعدة عملية).
</v>
      </c>
      <c r="E93" s="560"/>
      <c r="F93" s="375">
        <f>'اللامركزية '!AL10</f>
        <v>200000</v>
      </c>
      <c r="G93" s="375">
        <f>'اللامركزية '!AM10</f>
        <v>0</v>
      </c>
      <c r="H93" s="375">
        <f>'اللامركزية '!AN10</f>
        <v>0</v>
      </c>
      <c r="I93" s="375">
        <f>'اللامركزية '!AO10</f>
        <v>200000</v>
      </c>
      <c r="J93" s="375">
        <f>'اللامركزية '!AP10</f>
        <v>0</v>
      </c>
      <c r="K93" s="375">
        <f>'اللامركزية '!AQ10</f>
        <v>0</v>
      </c>
      <c r="L93" s="375">
        <f>'اللامركزية '!AR10</f>
        <v>0</v>
      </c>
    </row>
    <row r="94" spans="1:12" ht="25.5">
      <c r="A94" s="845"/>
      <c r="B94" s="846"/>
      <c r="C94" s="407" t="s">
        <v>201</v>
      </c>
      <c r="D94" s="407" t="str">
        <f>'اللامركزية '!E11</f>
        <v>بناء قدرات وحدات إدارة الموارد البشرية في البلديات الجديدة (15,000 يورو).</v>
      </c>
      <c r="E94" s="560"/>
      <c r="F94" s="375">
        <f>'اللامركزية '!AL11</f>
        <v>39900</v>
      </c>
      <c r="G94" s="375">
        <f>'اللامركزية '!AM11</f>
        <v>0</v>
      </c>
      <c r="H94" s="375">
        <f>'اللامركزية '!AN11</f>
        <v>0</v>
      </c>
      <c r="I94" s="375">
        <f>'اللامركزية '!AO11</f>
        <v>15000</v>
      </c>
      <c r="J94" s="375">
        <f>'اللامركزية '!AP11</f>
        <v>0</v>
      </c>
      <c r="K94" s="375">
        <f>'اللامركزية '!AQ11</f>
        <v>0</v>
      </c>
      <c r="L94" s="375">
        <f>'اللامركزية '!AR11</f>
        <v>24900</v>
      </c>
    </row>
    <row r="95" spans="1:12" ht="25.5">
      <c r="A95" s="845"/>
      <c r="B95" s="846"/>
      <c r="C95" s="407" t="s">
        <v>202</v>
      </c>
      <c r="D95" s="407" t="str">
        <f>'اللامركزية '!E12</f>
        <v>تحويل عملية إدارة الموارد البشرية لعملية قياسية في كافة الوحدات الحكومية المحلية (IPA A 1.2)</v>
      </c>
      <c r="E95" s="560"/>
      <c r="F95" s="375">
        <f>'اللامركزية '!AL12</f>
        <v>200000</v>
      </c>
      <c r="G95" s="375">
        <f>'اللامركزية '!AM12</f>
        <v>0</v>
      </c>
      <c r="H95" s="375">
        <f>'اللامركزية '!AN12</f>
        <v>200000</v>
      </c>
      <c r="I95" s="375">
        <f>'اللامركزية '!AO12</f>
        <v>0</v>
      </c>
      <c r="J95" s="375">
        <f>'اللامركزية '!AP12</f>
        <v>0</v>
      </c>
      <c r="K95" s="375">
        <f>'اللامركزية '!AQ12</f>
        <v>0</v>
      </c>
      <c r="L95" s="375">
        <f>'اللامركزية '!AR12</f>
        <v>0</v>
      </c>
    </row>
    <row r="96" spans="1:19" ht="15.75" customHeight="1">
      <c r="A96" s="384"/>
      <c r="B96" s="850" t="s">
        <v>539</v>
      </c>
      <c r="C96" s="851"/>
      <c r="D96" s="852"/>
      <c r="E96" s="565"/>
      <c r="F96" s="385">
        <f aca="true" t="shared" si="6" ref="F96:L96">SUM(F86:F95)</f>
        <v>3186525</v>
      </c>
      <c r="G96" s="385">
        <f t="shared" si="6"/>
        <v>70000</v>
      </c>
      <c r="H96" s="385">
        <f t="shared" si="6"/>
        <v>1000000</v>
      </c>
      <c r="I96" s="385">
        <f t="shared" si="6"/>
        <v>315000</v>
      </c>
      <c r="J96" s="385">
        <f t="shared" si="6"/>
        <v>0</v>
      </c>
      <c r="K96" s="385">
        <f t="shared" si="6"/>
        <v>0</v>
      </c>
      <c r="L96" s="385">
        <f t="shared" si="6"/>
        <v>1801525</v>
      </c>
      <c r="M96" s="489">
        <f>'الخدمة المدنية وإدارة الموارد ا'!AL15+'اللامركزية '!AL13</f>
        <v>3186525</v>
      </c>
      <c r="N96" s="489">
        <f>'الخدمة المدنية وإدارة الموارد ا'!AM15+'اللامركزية '!AM13</f>
        <v>70000</v>
      </c>
      <c r="O96" s="489">
        <f>'الخدمة المدنية وإدارة الموارد ا'!AN15+'اللامركزية '!AN13</f>
        <v>1000000</v>
      </c>
      <c r="P96" s="489">
        <f>'الخدمة المدنية وإدارة الموارد ا'!AO15+'اللامركزية '!AO13</f>
        <v>315000</v>
      </c>
      <c r="Q96" s="489">
        <f>'الخدمة المدنية وإدارة الموارد ا'!AP15+'اللامركزية '!AP13</f>
        <v>0</v>
      </c>
      <c r="R96" s="489">
        <f>'الخدمة المدنية وإدارة الموارد ا'!AQ15+'اللامركزية '!AQ13</f>
        <v>0</v>
      </c>
      <c r="S96" s="489">
        <f>'الخدمة المدنية وإدارة الموارد ا'!AR15+'اللامركزية '!AR13</f>
        <v>1801525</v>
      </c>
    </row>
    <row r="97" spans="1:19" ht="30" customHeight="1">
      <c r="A97" s="381">
        <v>5</v>
      </c>
      <c r="B97" s="853" t="s">
        <v>449</v>
      </c>
      <c r="C97" s="854"/>
      <c r="D97" s="854"/>
      <c r="E97" s="854"/>
      <c r="F97" s="854"/>
      <c r="G97" s="854"/>
      <c r="H97" s="854"/>
      <c r="I97" s="854"/>
      <c r="J97" s="854"/>
      <c r="K97" s="854"/>
      <c r="L97" s="855"/>
      <c r="M97" s="488">
        <f>F96-M96</f>
        <v>0</v>
      </c>
      <c r="N97" s="488">
        <f aca="true" t="shared" si="7" ref="N97:S97">G96-N96</f>
        <v>0</v>
      </c>
      <c r="O97" s="488">
        <f t="shared" si="7"/>
        <v>0</v>
      </c>
      <c r="P97" s="488">
        <f t="shared" si="7"/>
        <v>0</v>
      </c>
      <c r="Q97" s="488">
        <f t="shared" si="7"/>
        <v>0</v>
      </c>
      <c r="R97" s="488">
        <f t="shared" si="7"/>
        <v>0</v>
      </c>
      <c r="S97" s="488">
        <f t="shared" si="7"/>
        <v>0</v>
      </c>
    </row>
    <row r="98" spans="1:12" ht="21.75" customHeight="1">
      <c r="A98" s="856">
        <v>5.1</v>
      </c>
      <c r="B98" s="846" t="s">
        <v>540</v>
      </c>
      <c r="C98" s="407" t="s">
        <v>62</v>
      </c>
      <c r="D98" s="407" t="str">
        <f>الابتكار!E10</f>
        <v>استراتيجية توفير الخدمات العامة</v>
      </c>
      <c r="E98" s="560"/>
      <c r="F98" s="375">
        <f>الابتكار!AM10</f>
        <v>286960</v>
      </c>
      <c r="G98" s="375">
        <f>الابتكار!AN10</f>
        <v>0</v>
      </c>
      <c r="H98" s="375">
        <f>الابتكار!AO10</f>
        <v>0</v>
      </c>
      <c r="I98" s="375">
        <f>الابتكار!AP10</f>
        <v>0</v>
      </c>
      <c r="J98" s="375">
        <f>الابتكار!AQ10</f>
        <v>0</v>
      </c>
      <c r="K98" s="375">
        <f>الابتكار!AR10</f>
        <v>286960</v>
      </c>
      <c r="L98" s="375">
        <f>الابتكار!AS10</f>
        <v>0</v>
      </c>
    </row>
    <row r="99" spans="1:12" ht="34.5" customHeight="1">
      <c r="A99" s="856"/>
      <c r="B99" s="846"/>
      <c r="C99" s="407" t="s">
        <v>182</v>
      </c>
      <c r="D99" s="407" t="str">
        <f>الابتكار!E11</f>
        <v>تأسيس ADISA وافتتاح 4 مراكز استطلاعية</v>
      </c>
      <c r="E99" s="560"/>
      <c r="F99" s="375">
        <f>الابتكار!AM11</f>
        <v>3153610</v>
      </c>
      <c r="G99" s="375">
        <f>الابتكار!AN11</f>
        <v>2038770</v>
      </c>
      <c r="H99" s="375">
        <f>الابتكار!AO11</f>
        <v>0</v>
      </c>
      <c r="I99" s="375">
        <f>الابتكار!AP11</f>
        <v>0</v>
      </c>
      <c r="J99" s="375">
        <f>الابتكار!AQ11</f>
        <v>485722</v>
      </c>
      <c r="K99" s="375">
        <f>الابتكار!AR11</f>
        <v>629118</v>
      </c>
      <c r="L99" s="375">
        <f>الابتكار!AS11</f>
        <v>0</v>
      </c>
    </row>
    <row r="100" spans="1:12" ht="12.75">
      <c r="A100" s="856"/>
      <c r="B100" s="846"/>
      <c r="C100" s="407" t="s">
        <v>183</v>
      </c>
      <c r="D100" s="407" t="str">
        <f>الابتكار!E12</f>
        <v>تأسيس البنية التحتية المادية للمركز الشامل وطريقة عمله</v>
      </c>
      <c r="E100" s="560"/>
      <c r="F100" s="375">
        <f>الابتكار!AM12</f>
        <v>22364600</v>
      </c>
      <c r="G100" s="375">
        <f>الابتكار!AN12</f>
        <v>7364600</v>
      </c>
      <c r="H100" s="375">
        <f>الابتكار!AO12</f>
        <v>0</v>
      </c>
      <c r="I100" s="375">
        <f>الابتكار!AP12</f>
        <v>0</v>
      </c>
      <c r="J100" s="375">
        <f>الابتكار!AQ12</f>
        <v>15000000</v>
      </c>
      <c r="K100" s="375">
        <f>الابتكار!AR12</f>
        <v>0</v>
      </c>
      <c r="L100" s="375">
        <f>الابتكار!AS12</f>
        <v>0</v>
      </c>
    </row>
    <row r="101" spans="1:12" ht="54" customHeight="1">
      <c r="A101" s="412">
        <v>5.2</v>
      </c>
      <c r="B101" s="560" t="str">
        <f>الابتكار!C13</f>
        <v>تعديل تكوين المؤسسات التي توفر الخدمات العامة وفقًا لنموذج المركز الشامل:</v>
      </c>
      <c r="C101" s="560" t="s">
        <v>651</v>
      </c>
      <c r="D101" s="560" t="str">
        <f>الابتكار!E13</f>
        <v>تغيير الهياكل الإدارية على أساس دراسة إعادة تنظيم المؤسسات العامة</v>
      </c>
      <c r="E101" s="795" t="s">
        <v>652</v>
      </c>
      <c r="F101" s="375"/>
      <c r="G101" s="375"/>
      <c r="H101" s="375"/>
      <c r="I101" s="375"/>
      <c r="J101" s="375"/>
      <c r="K101" s="375"/>
      <c r="L101" s="375"/>
    </row>
    <row r="102" spans="1:12" ht="43.5" customHeight="1">
      <c r="A102" s="412">
        <v>5.3</v>
      </c>
      <c r="B102" s="407" t="s">
        <v>455</v>
      </c>
      <c r="C102" s="407" t="s">
        <v>223</v>
      </c>
      <c r="D102" s="407" t="str">
        <f>'اللامركزية '!C15</f>
        <v>تأسيس "مراكز شاملة" للخدمات الإدارية على المستوى المحلي. </v>
      </c>
      <c r="E102" s="560"/>
      <c r="F102" s="375">
        <f>'اللامركزية '!AL15</f>
        <v>7338000</v>
      </c>
      <c r="G102" s="375">
        <f>'اللامركزية '!AM15</f>
        <v>4300000</v>
      </c>
      <c r="H102" s="375">
        <f>'اللامركزية '!AN15</f>
        <v>0</v>
      </c>
      <c r="I102" s="375">
        <f>'اللامركزية '!AO15</f>
        <v>0</v>
      </c>
      <c r="J102" s="375">
        <f>'اللامركزية '!AP15</f>
        <v>0</v>
      </c>
      <c r="K102" s="375">
        <f>'اللامركزية '!AQ15</f>
        <v>0</v>
      </c>
      <c r="L102" s="375">
        <f>'اللامركزية '!AR15</f>
        <v>3038000</v>
      </c>
    </row>
    <row r="103" spans="1:19" ht="15.75" customHeight="1">
      <c r="A103" s="384"/>
      <c r="B103" s="850" t="s">
        <v>541</v>
      </c>
      <c r="C103" s="851"/>
      <c r="D103" s="852"/>
      <c r="E103" s="565"/>
      <c r="F103" s="385">
        <f aca="true" t="shared" si="8" ref="F103:L103">SUM(F98:F102)</f>
        <v>33143170</v>
      </c>
      <c r="G103" s="385">
        <f t="shared" si="8"/>
        <v>13703370</v>
      </c>
      <c r="H103" s="385">
        <f t="shared" si="8"/>
        <v>0</v>
      </c>
      <c r="I103" s="385">
        <f t="shared" si="8"/>
        <v>0</v>
      </c>
      <c r="J103" s="385">
        <f t="shared" si="8"/>
        <v>15485722</v>
      </c>
      <c r="K103" s="385">
        <f t="shared" si="8"/>
        <v>916078</v>
      </c>
      <c r="L103" s="385">
        <f t="shared" si="8"/>
        <v>3038000</v>
      </c>
      <c r="M103" s="489">
        <f>الابتكار!AM14+'اللامركزية '!AL15</f>
        <v>33143170</v>
      </c>
      <c r="N103" s="489">
        <f>الابتكار!AN14+'اللامركزية '!AM15</f>
        <v>13703370</v>
      </c>
      <c r="O103" s="489">
        <f>الابتكار!AO14+'اللامركزية '!AN15</f>
        <v>0</v>
      </c>
      <c r="P103" s="489">
        <f>الابتكار!AP14+'اللامركزية '!AO15</f>
        <v>0</v>
      </c>
      <c r="Q103" s="489">
        <f>الابتكار!AQ14+'اللامركزية '!AP15</f>
        <v>15485722</v>
      </c>
      <c r="R103" s="489">
        <f>الابتكار!AR14+'اللامركزية '!AQ15</f>
        <v>916078</v>
      </c>
      <c r="S103" s="489">
        <f>الابتكار!AS14+'اللامركزية '!AR15</f>
        <v>3038000</v>
      </c>
    </row>
    <row r="104" spans="1:19" ht="33.75" customHeight="1">
      <c r="A104" s="389">
        <v>6</v>
      </c>
      <c r="B104" s="853" t="s">
        <v>542</v>
      </c>
      <c r="C104" s="854"/>
      <c r="D104" s="854"/>
      <c r="E104" s="854"/>
      <c r="F104" s="854"/>
      <c r="G104" s="854"/>
      <c r="H104" s="854"/>
      <c r="I104" s="854"/>
      <c r="J104" s="854"/>
      <c r="K104" s="854"/>
      <c r="L104" s="855"/>
      <c r="M104" s="488">
        <f>F103-M103</f>
        <v>0</v>
      </c>
      <c r="N104" s="488">
        <f aca="true" t="shared" si="9" ref="N104:S104">G103-N103</f>
        <v>0</v>
      </c>
      <c r="O104" s="488">
        <f t="shared" si="9"/>
        <v>0</v>
      </c>
      <c r="P104" s="488">
        <f t="shared" si="9"/>
        <v>0</v>
      </c>
      <c r="Q104" s="488">
        <f t="shared" si="9"/>
        <v>0</v>
      </c>
      <c r="R104" s="488">
        <f t="shared" si="9"/>
        <v>0</v>
      </c>
      <c r="S104" s="488">
        <f t="shared" si="9"/>
        <v>0</v>
      </c>
    </row>
    <row r="105" spans="1:12" ht="25.5">
      <c r="A105" s="387"/>
      <c r="B105" s="406"/>
      <c r="C105" s="407" t="s">
        <v>197</v>
      </c>
      <c r="D105" s="407" t="str">
        <f>'الخدمة المدنية وإدارة الموارد ا'!E17</f>
        <v>تقييم الامتثال لقانون الخدمة المدنية الجديد فيما يتعلق بالهياكل الإدارية والرقابية الجديدة.  </v>
      </c>
      <c r="E105" s="560"/>
      <c r="F105" s="375">
        <f>'الخدمة المدنية وإدارة الموارد ا'!AL17</f>
        <v>50000</v>
      </c>
      <c r="G105" s="375">
        <f>'الخدمة المدنية وإدارة الموارد ا'!AM17</f>
        <v>50000</v>
      </c>
      <c r="H105" s="375">
        <f>'الخدمة المدنية وإدارة الموارد ا'!AN17</f>
        <v>0</v>
      </c>
      <c r="I105" s="375">
        <f>'الخدمة المدنية وإدارة الموارد ا'!AO17</f>
        <v>0</v>
      </c>
      <c r="J105" s="375">
        <f>'الخدمة المدنية وإدارة الموارد ا'!AP17</f>
        <v>0</v>
      </c>
      <c r="K105" s="375">
        <f>'الخدمة المدنية وإدارة الموارد ا'!AQ17</f>
        <v>0</v>
      </c>
      <c r="L105" s="375">
        <f>'الخدمة المدنية وإدارة الموارد ا'!AR17</f>
        <v>0</v>
      </c>
    </row>
    <row r="106" spans="1:12" ht="33" customHeight="1">
      <c r="A106" s="857">
        <v>6.2</v>
      </c>
      <c r="B106" s="857" t="s">
        <v>265</v>
      </c>
      <c r="C106" s="407" t="s">
        <v>176</v>
      </c>
      <c r="D106" s="407" t="str">
        <f>'الخدمة المدنية وإدارة الموارد ا'!E18</f>
        <v>دراسة قدرة الهياكل تجريها دائرة الإدارة العامة</v>
      </c>
      <c r="E106" s="560"/>
      <c r="F106" s="375">
        <f>'الخدمة المدنية وإدارة الموارد ا'!AL18</f>
        <v>60000</v>
      </c>
      <c r="G106" s="375">
        <f>'الخدمة المدنية وإدارة الموارد ا'!AM18</f>
        <v>60000</v>
      </c>
      <c r="H106" s="375">
        <f>'الخدمة المدنية وإدارة الموارد ا'!AN18</f>
        <v>0</v>
      </c>
      <c r="I106" s="375">
        <f>'الخدمة المدنية وإدارة الموارد ا'!AO18</f>
        <v>0</v>
      </c>
      <c r="J106" s="375">
        <f>'الخدمة المدنية وإدارة الموارد ا'!AP18</f>
        <v>0</v>
      </c>
      <c r="K106" s="375">
        <f>'الخدمة المدنية وإدارة الموارد ا'!AQ18</f>
        <v>0</v>
      </c>
      <c r="L106" s="375">
        <f>'الخدمة المدنية وإدارة الموارد ا'!AR18</f>
        <v>0</v>
      </c>
    </row>
    <row r="107" spans="1:12" ht="39" customHeight="1">
      <c r="A107" s="859"/>
      <c r="B107" s="859"/>
      <c r="C107" s="407" t="s">
        <v>177</v>
      </c>
      <c r="D107" s="407" t="str">
        <f>'الخدمة المدنية وإدارة الموارد ا'!E19</f>
        <v>طريقة التخطيط طويل المدى للموارد البشرية.</v>
      </c>
      <c r="E107" s="560"/>
      <c r="F107" s="375">
        <f>'الخدمة المدنية وإدارة الموارد ا'!AL19</f>
        <v>19900</v>
      </c>
      <c r="G107" s="375">
        <f>'الخدمة المدنية وإدارة الموارد ا'!AM19</f>
        <v>0</v>
      </c>
      <c r="H107" s="375">
        <f>'الخدمة المدنية وإدارة الموارد ا'!AN19</f>
        <v>0</v>
      </c>
      <c r="I107" s="375">
        <f>'الخدمة المدنية وإدارة الموارد ا'!AO19</f>
        <v>0</v>
      </c>
      <c r="J107" s="375">
        <f>'الخدمة المدنية وإدارة الموارد ا'!AP19</f>
        <v>0</v>
      </c>
      <c r="K107" s="375">
        <f>'الخدمة المدنية وإدارة الموارد ا'!AQ19</f>
        <v>0</v>
      </c>
      <c r="L107" s="375">
        <f>'الخدمة المدنية وإدارة الموارد ا'!AR19</f>
        <v>19900</v>
      </c>
    </row>
    <row r="108" spans="1:12" ht="53.25" customHeight="1">
      <c r="A108" s="858"/>
      <c r="B108" s="858"/>
      <c r="C108" s="407" t="s">
        <v>196</v>
      </c>
      <c r="D108" s="407" t="str">
        <f>'الخدمة المدنية وإدارة الموارد ا'!E20</f>
        <v>برنامج مخصص للتدريب على طريقة التخطيط طويل المدى للموارد البشرية.</v>
      </c>
      <c r="E108" s="795" t="s">
        <v>544</v>
      </c>
      <c r="F108" s="375">
        <f>'الخدمة المدنية وإدارة الموارد ا'!AL20</f>
        <v>0</v>
      </c>
      <c r="G108" s="375">
        <f>'الخدمة المدنية وإدارة الموارد ا'!AM20</f>
        <v>0</v>
      </c>
      <c r="H108" s="375">
        <f>'الخدمة المدنية وإدارة الموارد ا'!AN20</f>
        <v>0</v>
      </c>
      <c r="I108" s="375">
        <f>'الخدمة المدنية وإدارة الموارد ا'!AO20</f>
        <v>0</v>
      </c>
      <c r="J108" s="375">
        <f>'الخدمة المدنية وإدارة الموارد ا'!AP20</f>
        <v>0</v>
      </c>
      <c r="K108" s="375">
        <f>'الخدمة المدنية وإدارة الموارد ا'!AQ20</f>
        <v>0</v>
      </c>
      <c r="L108" s="375">
        <f>'الخدمة المدنية وإدارة الموارد ا'!AR20</f>
        <v>0</v>
      </c>
    </row>
    <row r="109" spans="1:12" ht="60.75" customHeight="1">
      <c r="A109" s="377">
        <v>6.3</v>
      </c>
      <c r="B109" s="795" t="s">
        <v>543</v>
      </c>
      <c r="C109" s="407" t="s">
        <v>180</v>
      </c>
      <c r="D109" s="407" t="str">
        <f>'الخدمة المدنية وإدارة الموارد ا'!E21</f>
        <v>سيتم توفير الدورات التدريبية من خلال برامج ASPA.</v>
      </c>
      <c r="E109" s="795" t="s">
        <v>545</v>
      </c>
      <c r="F109" s="375">
        <f>'الخدمة المدنية وإدارة الموارد ا'!AL21</f>
        <v>0</v>
      </c>
      <c r="G109" s="375">
        <f>'الخدمة المدنية وإدارة الموارد ا'!AM21</f>
        <v>0</v>
      </c>
      <c r="H109" s="375">
        <f>'الخدمة المدنية وإدارة الموارد ا'!AN21</f>
        <v>0</v>
      </c>
      <c r="I109" s="375">
        <f>'الخدمة المدنية وإدارة الموارد ا'!AO21</f>
        <v>0</v>
      </c>
      <c r="J109" s="375">
        <f>'الخدمة المدنية وإدارة الموارد ا'!AP21</f>
        <v>0</v>
      </c>
      <c r="K109" s="375">
        <f>'الخدمة المدنية وإدارة الموارد ا'!AQ21</f>
        <v>0</v>
      </c>
      <c r="L109" s="375">
        <f>'الخدمة المدنية وإدارة الموارد ا'!AR21</f>
        <v>0</v>
      </c>
    </row>
    <row r="110" spans="1:12" ht="43.5" customHeight="1">
      <c r="A110" s="845">
        <v>6.4</v>
      </c>
      <c r="B110" s="846" t="s">
        <v>546</v>
      </c>
      <c r="C110" s="407" t="s">
        <v>179</v>
      </c>
      <c r="D110" s="407" t="str">
        <f>'الخدمة المدنية وإدارة الموارد ا'!E22</f>
        <v>تأسيس آليات لتقوية التعاون بين CSC ومؤسسات الإدارة العامة (IPA A.2.3).</v>
      </c>
      <c r="E110" s="560"/>
      <c r="F110" s="375">
        <f>'الخدمة المدنية وإدارة الموارد ا'!AL22</f>
        <v>300000</v>
      </c>
      <c r="G110" s="375">
        <f>'الخدمة المدنية وإدارة الموارد ا'!AM22</f>
        <v>0</v>
      </c>
      <c r="H110" s="375">
        <f>'الخدمة المدنية وإدارة الموارد ا'!AN22</f>
        <v>300000</v>
      </c>
      <c r="I110" s="375">
        <f>'الخدمة المدنية وإدارة الموارد ا'!AO22</f>
        <v>0</v>
      </c>
      <c r="J110" s="375">
        <f>'الخدمة المدنية وإدارة الموارد ا'!AP22</f>
        <v>0</v>
      </c>
      <c r="K110" s="375">
        <f>'الخدمة المدنية وإدارة الموارد ا'!AQ22</f>
        <v>0</v>
      </c>
      <c r="L110" s="375">
        <f>'الخدمة المدنية وإدارة الموارد ا'!AR22</f>
        <v>0</v>
      </c>
    </row>
    <row r="111" spans="1:12" ht="36.75" customHeight="1">
      <c r="A111" s="845"/>
      <c r="B111" s="846"/>
      <c r="C111" s="407" t="s">
        <v>178</v>
      </c>
      <c r="D111" s="407" t="str">
        <f>'الخدمة المدنية وإدارة الموارد ا'!E23</f>
        <v>بناء قدرات CSC (IPA A.2.4 جزئيا).</v>
      </c>
      <c r="E111" s="560"/>
      <c r="F111" s="375">
        <f>'الخدمة المدنية وإدارة الموارد ا'!AL23</f>
        <v>50000</v>
      </c>
      <c r="G111" s="375">
        <f>'الخدمة المدنية وإدارة الموارد ا'!AM23</f>
        <v>0</v>
      </c>
      <c r="H111" s="375">
        <f>'الخدمة المدنية وإدارة الموارد ا'!AN23</f>
        <v>50000</v>
      </c>
      <c r="I111" s="375">
        <f>'الخدمة المدنية وإدارة الموارد ا'!AO23</f>
        <v>0</v>
      </c>
      <c r="J111" s="375">
        <f>'الخدمة المدنية وإدارة الموارد ا'!AP23</f>
        <v>0</v>
      </c>
      <c r="K111" s="375">
        <f>'الخدمة المدنية وإدارة الموارد ا'!AQ23</f>
        <v>0</v>
      </c>
      <c r="L111" s="375">
        <f>'الخدمة المدنية وإدارة الموارد ا'!AR23</f>
        <v>0</v>
      </c>
    </row>
    <row r="112" spans="1:12" ht="26.25" customHeight="1">
      <c r="A112" s="845">
        <v>6.5</v>
      </c>
      <c r="B112" s="846" t="s">
        <v>547</v>
      </c>
      <c r="C112" s="407" t="s">
        <v>144</v>
      </c>
      <c r="D112" s="407" t="str">
        <f>'الخدمة المدنية وإدارة الموارد ا'!E24</f>
        <v>تأسيس منصة النظام. </v>
      </c>
      <c r="E112" s="560"/>
      <c r="F112" s="375">
        <f>'الخدمة المدنية وإدارة الموارد ا'!AL24</f>
        <v>65000</v>
      </c>
      <c r="G112" s="375">
        <f>'الخدمة المدنية وإدارة الموارد ا'!AM24</f>
        <v>5000</v>
      </c>
      <c r="H112" s="375">
        <f>'الخدمة المدنية وإدارة الموارد ا'!AN24</f>
        <v>0</v>
      </c>
      <c r="I112" s="375">
        <f>'الخدمة المدنية وإدارة الموارد ا'!AO24</f>
        <v>0</v>
      </c>
      <c r="J112" s="375">
        <f>'الخدمة المدنية وإدارة الموارد ا'!AP24</f>
        <v>60000</v>
      </c>
      <c r="K112" s="375">
        <f>'الخدمة المدنية وإدارة الموارد ا'!AQ24</f>
        <v>0</v>
      </c>
      <c r="L112" s="375">
        <f>'الخدمة المدنية وإدارة الموارد ا'!AR24</f>
        <v>0</v>
      </c>
    </row>
    <row r="113" spans="1:12" ht="31.5" customHeight="1">
      <c r="A113" s="845"/>
      <c r="B113" s="846"/>
      <c r="C113" s="407" t="s">
        <v>145</v>
      </c>
      <c r="D113" s="407" t="str">
        <f>'الخدمة المدنية وإدارة الموارد ا'!E25</f>
        <v>بنك أسئلة الاختبارات التي تم تنفيذها (من أجل 10 تخصصات).</v>
      </c>
      <c r="E113" s="560"/>
      <c r="F113" s="375">
        <f>'الخدمة المدنية وإدارة الموارد ا'!AL25</f>
        <v>445000</v>
      </c>
      <c r="G113" s="375">
        <f>'الخدمة المدنية وإدارة الموارد ا'!AM25</f>
        <v>50000</v>
      </c>
      <c r="H113" s="375">
        <f>'الخدمة المدنية وإدارة الموارد ا'!AN25</f>
        <v>0</v>
      </c>
      <c r="I113" s="375">
        <f>'الخدمة المدنية وإدارة الموارد ا'!AO25</f>
        <v>0</v>
      </c>
      <c r="J113" s="375">
        <f>'الخدمة المدنية وإدارة الموارد ا'!AP25</f>
        <v>0</v>
      </c>
      <c r="K113" s="375">
        <f>'الخدمة المدنية وإدارة الموارد ا'!AQ25</f>
        <v>0</v>
      </c>
      <c r="L113" s="375">
        <f>'الخدمة المدنية وإدارة الموارد ا'!AR25</f>
        <v>395000</v>
      </c>
    </row>
    <row r="114" spans="1:12" ht="28.5" customHeight="1">
      <c r="A114" s="845"/>
      <c r="B114" s="846"/>
      <c r="C114" s="407" t="s">
        <v>146</v>
      </c>
      <c r="D114" s="407" t="str">
        <f>'الخدمة المدنية وإدارة الموارد ا'!E26</f>
        <v>اختبار نظم الأسئلة</v>
      </c>
      <c r="E114" s="560"/>
      <c r="F114" s="375">
        <f>'الخدمة المدنية وإدارة الموارد ا'!AL26</f>
        <v>30000</v>
      </c>
      <c r="G114" s="375">
        <f>'الخدمة المدنية وإدارة الموارد ا'!AM26</f>
        <v>30000</v>
      </c>
      <c r="H114" s="375">
        <f>'الخدمة المدنية وإدارة الموارد ا'!AN26</f>
        <v>0</v>
      </c>
      <c r="I114" s="375">
        <f>'الخدمة المدنية وإدارة الموارد ا'!AO26</f>
        <v>0</v>
      </c>
      <c r="J114" s="375">
        <f>'الخدمة المدنية وإدارة الموارد ا'!AP26</f>
        <v>0</v>
      </c>
      <c r="K114" s="375">
        <f>'الخدمة المدنية وإدارة الموارد ا'!AQ26</f>
        <v>0</v>
      </c>
      <c r="L114" s="375">
        <f>'الخدمة المدنية وإدارة الموارد ا'!AR26</f>
        <v>0</v>
      </c>
    </row>
    <row r="115" spans="1:12" ht="33.75" customHeight="1">
      <c r="A115" s="845"/>
      <c r="B115" s="846"/>
      <c r="C115" s="407" t="s">
        <v>147</v>
      </c>
      <c r="D115" s="407" t="str">
        <f>'الخدمة المدنية وإدارة الموارد ا'!E27</f>
        <v>تطوير النظام الآلي للاختبارات (من أجل 15 تخصصًا).</v>
      </c>
      <c r="E115" s="560"/>
      <c r="F115" s="375">
        <f>'الخدمة المدنية وإدارة الموارد ا'!AL27</f>
        <v>213000</v>
      </c>
      <c r="G115" s="375">
        <f>'الخدمة المدنية وإدارة الموارد ا'!AM27</f>
        <v>5000</v>
      </c>
      <c r="H115" s="375">
        <f>'الخدمة المدنية وإدارة الموارد ا'!AN27</f>
        <v>0</v>
      </c>
      <c r="I115" s="375">
        <f>'الخدمة المدنية وإدارة الموارد ا'!AO27</f>
        <v>0</v>
      </c>
      <c r="J115" s="375">
        <f>'الخدمة المدنية وإدارة الموارد ا'!AP27</f>
        <v>0</v>
      </c>
      <c r="K115" s="375">
        <f>'الخدمة المدنية وإدارة الموارد ا'!AQ27</f>
        <v>0</v>
      </c>
      <c r="L115" s="375">
        <f>'الخدمة المدنية وإدارة الموارد ا'!AR27</f>
        <v>208000</v>
      </c>
    </row>
    <row r="116" spans="1:12" ht="50.25" customHeight="1">
      <c r="A116" s="845" t="s">
        <v>653</v>
      </c>
      <c r="B116" s="857" t="s">
        <v>548</v>
      </c>
      <c r="C116" s="560" t="s">
        <v>224</v>
      </c>
      <c r="D116" s="560" t="str">
        <f>'الشفافية ومكافحة الفساد '!E13</f>
        <v>مراجعة اختبار القبول أثناء التعيين من حيث احتوائه على الأسئلة الخاصة بتقييم النزاهة. </v>
      </c>
      <c r="E116" s="795" t="s">
        <v>654</v>
      </c>
      <c r="F116" s="375">
        <f>'الشفافية ومكافحة الفساد '!AL13</f>
        <v>0</v>
      </c>
      <c r="G116" s="375">
        <f>'الشفافية ومكافحة الفساد '!AM13</f>
        <v>0</v>
      </c>
      <c r="H116" s="375">
        <f>'الشفافية ومكافحة الفساد '!AN13</f>
        <v>0</v>
      </c>
      <c r="I116" s="375">
        <f>'الشفافية ومكافحة الفساد '!AO13</f>
        <v>0</v>
      </c>
      <c r="J116" s="375">
        <f>'الشفافية ومكافحة الفساد '!AP13</f>
        <v>0</v>
      </c>
      <c r="K116" s="375">
        <f>'الشفافية ومكافحة الفساد '!AQ13</f>
        <v>0</v>
      </c>
      <c r="L116" s="375">
        <f>'الشفافية ومكافحة الفساد '!AR13</f>
        <v>0</v>
      </c>
    </row>
    <row r="117" spans="1:12" ht="30.75" customHeight="1">
      <c r="A117" s="845"/>
      <c r="B117" s="859"/>
      <c r="C117" s="560" t="s">
        <v>225</v>
      </c>
      <c r="D117" s="560" t="str">
        <f>'الشفافية ومكافحة الفساد '!E14</f>
        <v>تقييم النزاهة أثناء التقييم السنوي للأداء.</v>
      </c>
      <c r="E117" s="795" t="s">
        <v>655</v>
      </c>
      <c r="F117" s="375">
        <f>'الشفافية ومكافحة الفساد '!AL14</f>
        <v>0</v>
      </c>
      <c r="G117" s="375">
        <f>'الشفافية ومكافحة الفساد '!AM14</f>
        <v>0</v>
      </c>
      <c r="H117" s="375">
        <f>'الشفافية ومكافحة الفساد '!AN14</f>
        <v>0</v>
      </c>
      <c r="I117" s="375">
        <f>'الشفافية ومكافحة الفساد '!AO14</f>
        <v>0</v>
      </c>
      <c r="J117" s="375">
        <f>'الشفافية ومكافحة الفساد '!AP14</f>
        <v>0</v>
      </c>
      <c r="K117" s="375">
        <f>'الشفافية ومكافحة الفساد '!AQ14</f>
        <v>0</v>
      </c>
      <c r="L117" s="375">
        <f>'الشفافية ومكافحة الفساد '!AR14</f>
        <v>0</v>
      </c>
    </row>
    <row r="118" spans="1:12" ht="42.75" customHeight="1">
      <c r="A118" s="845">
        <v>6.6</v>
      </c>
      <c r="B118" s="846" t="s">
        <v>549</v>
      </c>
      <c r="C118" s="407" t="str">
        <f>'الخدمة المدنية وإدارة الموارد ا'!D28</f>
        <v>6.6.1</v>
      </c>
      <c r="D118" s="407" t="str">
        <f>'الخدمة المدنية وإدارة الموارد ا'!E28</f>
        <v>دراسة تقييم 17 نظامًا (2 خبير محلي و5 خبراء أجانب).</v>
      </c>
      <c r="E118" s="560"/>
      <c r="F118" s="375">
        <f>'الخدمة المدنية وإدارة الموارد ا'!AL28</f>
        <v>348000</v>
      </c>
      <c r="G118" s="375">
        <f>'الخدمة المدنية وإدارة الموارد ا'!AM28</f>
        <v>0</v>
      </c>
      <c r="H118" s="375">
        <f>'الخدمة المدنية وإدارة الموارد ا'!AN28</f>
        <v>0</v>
      </c>
      <c r="I118" s="375">
        <f>'الخدمة المدنية وإدارة الموارد ا'!AO28</f>
        <v>0</v>
      </c>
      <c r="J118" s="375">
        <f>'الخدمة المدنية وإدارة الموارد ا'!AP28</f>
        <v>0</v>
      </c>
      <c r="K118" s="375">
        <f>'الخدمة المدنية وإدارة الموارد ا'!AQ28</f>
        <v>0</v>
      </c>
      <c r="L118" s="375">
        <f>'الخدمة المدنية وإدارة الموارد ا'!AR28</f>
        <v>348000</v>
      </c>
    </row>
    <row r="119" spans="1:12" ht="47.25" customHeight="1">
      <c r="A119" s="845"/>
      <c r="B119" s="846"/>
      <c r="C119" s="407" t="str">
        <f>'الخدمة المدنية وإدارة الموارد ا'!D29</f>
        <v>6.6.2</v>
      </c>
      <c r="D119" s="407" t="str">
        <f>'الخدمة المدنية وإدارة الموارد ا'!E29</f>
        <v>تدريب موظفي الوزارات على استخدام النماذج القياسية (4 دورات تدريبية × 20 شخصًا في الدورة × 3 أيام تدريب).</v>
      </c>
      <c r="E119" s="560"/>
      <c r="F119" s="375">
        <f>'الخدمة المدنية وإدارة الموارد ا'!AL29</f>
        <v>11200</v>
      </c>
      <c r="G119" s="375">
        <f>'الخدمة المدنية وإدارة الموارد ا'!AM29</f>
        <v>0</v>
      </c>
      <c r="H119" s="375">
        <f>'الخدمة المدنية وإدارة الموارد ا'!AN29</f>
        <v>0</v>
      </c>
      <c r="I119" s="375">
        <f>'الخدمة المدنية وإدارة الموارد ا'!AO29</f>
        <v>0</v>
      </c>
      <c r="J119" s="375">
        <f>'الخدمة المدنية وإدارة الموارد ا'!AP29</f>
        <v>0</v>
      </c>
      <c r="K119" s="375">
        <f>'الخدمة المدنية وإدارة الموارد ا'!AQ29</f>
        <v>0</v>
      </c>
      <c r="L119" s="375">
        <f>'الخدمة المدنية وإدارة الموارد ا'!AR29</f>
        <v>11200</v>
      </c>
    </row>
    <row r="120" spans="1:12" ht="39.75" customHeight="1">
      <c r="A120" s="845">
        <v>6.7</v>
      </c>
      <c r="B120" s="846" t="s">
        <v>1227</v>
      </c>
      <c r="C120" s="407" t="s">
        <v>150</v>
      </c>
      <c r="D120" s="407" t="str">
        <f>'الخدمة المدنية وإدارة الموارد ا'!E30</f>
        <v>تطوير نظام الرصد </v>
      </c>
      <c r="E120" s="560"/>
      <c r="F120" s="375">
        <f>'الخدمة المدنية وإدارة الموارد ا'!AL30</f>
        <v>130000</v>
      </c>
      <c r="G120" s="375">
        <f>'الخدمة المدنية وإدارة الموارد ا'!AM30</f>
        <v>0</v>
      </c>
      <c r="H120" s="375">
        <f>'الخدمة المدنية وإدارة الموارد ا'!AN30</f>
        <v>0</v>
      </c>
      <c r="I120" s="375">
        <f>'الخدمة المدنية وإدارة الموارد ا'!AO30</f>
        <v>0</v>
      </c>
      <c r="J120" s="375">
        <f>'الخدمة المدنية وإدارة الموارد ا'!AP30</f>
        <v>0</v>
      </c>
      <c r="K120" s="375">
        <f>'الخدمة المدنية وإدارة الموارد ا'!AQ30</f>
        <v>0</v>
      </c>
      <c r="L120" s="375">
        <f>'الخدمة المدنية وإدارة الموارد ا'!AR30</f>
        <v>130000</v>
      </c>
    </row>
    <row r="121" spans="1:12" ht="52.5" customHeight="1">
      <c r="A121" s="845"/>
      <c r="B121" s="846"/>
      <c r="C121" s="407" t="s">
        <v>151</v>
      </c>
      <c r="D121" s="407" t="str">
        <f>'الخدمة المدنية وإدارة الموارد ا'!E31</f>
        <v>نشر تقارير الرصد</v>
      </c>
      <c r="E121" s="560"/>
      <c r="F121" s="375">
        <f>'الخدمة المدنية وإدارة الموارد ا'!AL31</f>
        <v>8000</v>
      </c>
      <c r="G121" s="375">
        <f>'الخدمة المدنية وإدارة الموارد ا'!AM31</f>
        <v>0</v>
      </c>
      <c r="H121" s="375">
        <f>'الخدمة المدنية وإدارة الموارد ا'!AN31</f>
        <v>0</v>
      </c>
      <c r="I121" s="375">
        <f>'الخدمة المدنية وإدارة الموارد ا'!AO31</f>
        <v>0</v>
      </c>
      <c r="J121" s="375">
        <f>'الخدمة المدنية وإدارة الموارد ا'!AP31</f>
        <v>0</v>
      </c>
      <c r="K121" s="375">
        <f>'الخدمة المدنية وإدارة الموارد ا'!AQ31</f>
        <v>0</v>
      </c>
      <c r="L121" s="375">
        <f>'الخدمة المدنية وإدارة الموارد ا'!AR31</f>
        <v>8000</v>
      </c>
    </row>
    <row r="122" spans="1:12" ht="47.25" customHeight="1">
      <c r="A122" s="845">
        <v>6.8</v>
      </c>
      <c r="B122" s="857" t="s">
        <v>550</v>
      </c>
      <c r="C122" s="407" t="s">
        <v>105</v>
      </c>
      <c r="D122" s="407" t="s">
        <v>1233</v>
      </c>
      <c r="E122" s="560"/>
      <c r="F122" s="375">
        <f>'الخدمة المدنية وإدارة الموارد ا'!AL32</f>
        <v>308000</v>
      </c>
      <c r="G122" s="375">
        <f>'الخدمة المدنية وإدارة الموارد ا'!AM32</f>
        <v>20000</v>
      </c>
      <c r="H122" s="375">
        <f>'الخدمة المدنية وإدارة الموارد ا'!AN32</f>
        <v>0</v>
      </c>
      <c r="I122" s="375">
        <f>'الخدمة المدنية وإدارة الموارد ا'!AO32</f>
        <v>0</v>
      </c>
      <c r="J122" s="375">
        <f>'الخدمة المدنية وإدارة الموارد ا'!AP32</f>
        <v>288000</v>
      </c>
      <c r="K122" s="375">
        <f>'الخدمة المدنية وإدارة الموارد ا'!AQ32</f>
        <v>0</v>
      </c>
      <c r="L122" s="375">
        <f>'الخدمة المدنية وإدارة الموارد ا'!AR32</f>
        <v>0</v>
      </c>
    </row>
    <row r="123" spans="1:12" ht="47.25" customHeight="1">
      <c r="A123" s="845"/>
      <c r="B123" s="859"/>
      <c r="C123" s="407" t="s">
        <v>107</v>
      </c>
      <c r="D123" s="407" t="str">
        <f>'الخدمة المدنية وإدارة الموارد ا'!E33</f>
        <v>تدريب 500 موظف مختص بإدارة الموارد البشرية (20 دورة تدريبية إجمالًا؛ 3 أيام تدريب × 25 شخصًا في الدورة).</v>
      </c>
      <c r="E123" s="560"/>
      <c r="F123" s="375">
        <f>'الخدمة المدنية وإدارة الموارد ا'!AL33</f>
        <v>158550</v>
      </c>
      <c r="G123" s="375">
        <f>'الخدمة المدنية وإدارة الموارد ا'!AM33</f>
        <v>0</v>
      </c>
      <c r="H123" s="375">
        <f>'الخدمة المدنية وإدارة الموارد ا'!AN33</f>
        <v>0</v>
      </c>
      <c r="I123" s="375">
        <f>'الخدمة المدنية وإدارة الموارد ا'!AO33</f>
        <v>0</v>
      </c>
      <c r="J123" s="375">
        <f>'الخدمة المدنية وإدارة الموارد ا'!AP33</f>
        <v>0</v>
      </c>
      <c r="K123" s="375">
        <f>'الخدمة المدنية وإدارة الموارد ا'!AQ33</f>
        <v>0</v>
      </c>
      <c r="L123" s="375">
        <f>'الخدمة المدنية وإدارة الموارد ا'!AR33</f>
        <v>158550</v>
      </c>
    </row>
    <row r="124" spans="1:12" ht="47.25" customHeight="1">
      <c r="A124" s="845"/>
      <c r="B124" s="859"/>
      <c r="C124" s="407" t="s">
        <v>108</v>
      </c>
      <c r="D124" s="407" t="str">
        <f>'الخدمة المدنية وإدارة الموارد ا'!E34</f>
        <v>إتمام تحليل طريقة عمل نظام معلومات إدارة الموارد البشرية.</v>
      </c>
      <c r="E124" s="560"/>
      <c r="F124" s="375">
        <f>'الخدمة المدنية وإدارة الموارد ا'!AL34</f>
        <v>30000</v>
      </c>
      <c r="G124" s="375">
        <f>'الخدمة المدنية وإدارة الموارد ا'!AM34</f>
        <v>30000</v>
      </c>
      <c r="H124" s="375">
        <f>'الخدمة المدنية وإدارة الموارد ا'!AN34</f>
        <v>0</v>
      </c>
      <c r="I124" s="375">
        <f>'الخدمة المدنية وإدارة الموارد ا'!AO34</f>
        <v>0</v>
      </c>
      <c r="J124" s="375">
        <f>'الخدمة المدنية وإدارة الموارد ا'!AP34</f>
        <v>0</v>
      </c>
      <c r="K124" s="375">
        <f>'الخدمة المدنية وإدارة الموارد ا'!AQ34</f>
        <v>0</v>
      </c>
      <c r="L124" s="375">
        <f>'الخدمة المدنية وإدارة الموارد ا'!AR34</f>
        <v>0</v>
      </c>
    </row>
    <row r="125" spans="1:12" ht="47.25" customHeight="1">
      <c r="A125" s="845"/>
      <c r="B125" s="859"/>
      <c r="C125" s="407" t="s">
        <v>109</v>
      </c>
      <c r="D125" s="407" t="str">
        <f>'الخدمة المدنية وإدارة الموارد ا'!E35</f>
        <v>صيانة النظام (50 شخصًا يتم تدريبهم كل سنتين - اختصاصيون جدد في إدارة الموارد البشرية).</v>
      </c>
      <c r="E125" s="560"/>
      <c r="F125" s="375">
        <f>'الخدمة المدنية وإدارة الموارد ا'!AL35</f>
        <v>36150</v>
      </c>
      <c r="G125" s="375">
        <f>'الخدمة المدنية وإدارة الموارد ا'!AM35</f>
        <v>0</v>
      </c>
      <c r="H125" s="375">
        <f>'الخدمة المدنية وإدارة الموارد ا'!AN35</f>
        <v>0</v>
      </c>
      <c r="I125" s="375">
        <f>'الخدمة المدنية وإدارة الموارد ا'!AO35</f>
        <v>0</v>
      </c>
      <c r="J125" s="375">
        <f>'الخدمة المدنية وإدارة الموارد ا'!AP35</f>
        <v>0</v>
      </c>
      <c r="K125" s="375">
        <f>'الخدمة المدنية وإدارة الموارد ا'!AQ35</f>
        <v>0</v>
      </c>
      <c r="L125" s="375">
        <f>'الخدمة المدنية وإدارة الموارد ا'!AR35</f>
        <v>36150</v>
      </c>
    </row>
    <row r="126" spans="1:12" ht="47.25" customHeight="1" thickBot="1">
      <c r="A126" s="388"/>
      <c r="B126" s="859"/>
      <c r="C126" s="409" t="s">
        <v>221</v>
      </c>
      <c r="D126" s="409" t="str">
        <f>'الخدمة المدنية وإدارة الموارد ا'!E36</f>
        <v>تأسيس نظام للتطوير المهني في مجال الخدمة المدنية (IPA A.1.4).</v>
      </c>
      <c r="E126" s="562"/>
      <c r="F126" s="434">
        <f>'الخدمة المدنية وإدارة الموارد ا'!AL36</f>
        <v>350000</v>
      </c>
      <c r="G126" s="434">
        <f>'الخدمة المدنية وإدارة الموارد ا'!AM36</f>
        <v>0</v>
      </c>
      <c r="H126" s="434">
        <f>'الخدمة المدنية وإدارة الموارد ا'!AN36</f>
        <v>350000</v>
      </c>
      <c r="I126" s="434">
        <f>'الخدمة المدنية وإدارة الموارد ا'!AO36</f>
        <v>0</v>
      </c>
      <c r="J126" s="434">
        <f>'الخدمة المدنية وإدارة الموارد ا'!AP36</f>
        <v>0</v>
      </c>
      <c r="K126" s="434">
        <f>'الخدمة المدنية وإدارة الموارد ا'!AQ36</f>
        <v>0</v>
      </c>
      <c r="L126" s="434">
        <f>'الخدمة المدنية وإدارة الموارد ا'!AR36</f>
        <v>0</v>
      </c>
    </row>
    <row r="127" spans="1:12" ht="62.25" customHeight="1">
      <c r="A127" s="901">
        <v>6.9</v>
      </c>
      <c r="B127" s="893" t="s">
        <v>551</v>
      </c>
      <c r="C127" s="436" t="s">
        <v>153</v>
      </c>
      <c r="D127" s="436" t="str">
        <f>ASPA!D8</f>
        <v>تحديث وتطوير سلسلة من أنشطة الوحدات والبرامج تعكس المطالب والاحتياجات المتغيرة لقانون موظفي الخدمة المدنية. </v>
      </c>
      <c r="E127" s="436"/>
      <c r="F127" s="437">
        <f>ASPA!AU8</f>
        <v>119992</v>
      </c>
      <c r="G127" s="437">
        <f>ASPA!AV8</f>
        <v>35610</v>
      </c>
      <c r="H127" s="437">
        <f>ASPA!AW8</f>
        <v>84382</v>
      </c>
      <c r="I127" s="437">
        <f>ASPA!AX8</f>
        <v>0</v>
      </c>
      <c r="J127" s="437">
        <f>ASPA!AY8</f>
        <v>0</v>
      </c>
      <c r="K127" s="437">
        <f>ASPA!AZ8</f>
        <v>0</v>
      </c>
      <c r="L127" s="438">
        <f>ASPA!BA8</f>
        <v>0</v>
      </c>
    </row>
    <row r="128" spans="1:12" ht="45" customHeight="1">
      <c r="A128" s="902"/>
      <c r="B128" s="894"/>
      <c r="C128" s="407" t="s">
        <v>154</v>
      </c>
      <c r="D128" s="407" t="str">
        <f>ASPA!D10</f>
        <v>تحديد الاحتياجات التدريبية بصفة دورية من خلال تحليل الاحتياجات التدريبية.  </v>
      </c>
      <c r="E128" s="560"/>
      <c r="F128" s="375">
        <f>ASPA!AU10</f>
        <v>22050</v>
      </c>
      <c r="G128" s="375">
        <f>ASPA!AV10</f>
        <v>7386.75</v>
      </c>
      <c r="H128" s="375">
        <f>ASPA!AW10</f>
        <v>14663.25</v>
      </c>
      <c r="I128" s="375">
        <f>ASPA!AX10</f>
        <v>0</v>
      </c>
      <c r="J128" s="375">
        <f>ASPA!AY10</f>
        <v>0</v>
      </c>
      <c r="K128" s="375">
        <f>ASPA!AZ10</f>
        <v>0</v>
      </c>
      <c r="L128" s="439">
        <f>ASPA!BA10</f>
        <v>0</v>
      </c>
    </row>
    <row r="129" spans="1:12" ht="50.25" customHeight="1">
      <c r="A129" s="902"/>
      <c r="B129" s="894"/>
      <c r="C129" s="407" t="s">
        <v>155</v>
      </c>
      <c r="D129" s="407" t="str">
        <f>ASPA!D11</f>
        <v> زيادة عدد البرامج التدريبية في مجال التكامل الأوروبي.  </v>
      </c>
      <c r="E129" s="560"/>
      <c r="F129" s="375">
        <f>ASPA!AU11</f>
        <v>49500</v>
      </c>
      <c r="G129" s="375">
        <f>ASPA!AV11</f>
        <v>0</v>
      </c>
      <c r="H129" s="375">
        <f>ASPA!AW11</f>
        <v>49500</v>
      </c>
      <c r="I129" s="375">
        <f>ASPA!AX11</f>
        <v>0</v>
      </c>
      <c r="J129" s="375">
        <f>ASPA!AY11</f>
        <v>0</v>
      </c>
      <c r="K129" s="375">
        <f>ASPA!AZ11</f>
        <v>0</v>
      </c>
      <c r="L129" s="439">
        <f>ASPA!BA11</f>
        <v>0</v>
      </c>
    </row>
    <row r="130" spans="1:12" ht="69.75" customHeight="1">
      <c r="A130" s="902"/>
      <c r="B130" s="894"/>
      <c r="C130" s="407" t="s">
        <v>156</v>
      </c>
      <c r="D130" s="407" t="str">
        <f>ASPA!D12</f>
        <v>تحديث وتطوير مجموعة المدربين المتخصصين - سيتم تحقيق ذلك من خلال التحديث المستمر لقاعدة بيانات الخبراء المحتملين ومن خلال برامج التطوير المهني في محل العمل. </v>
      </c>
      <c r="E130" s="795" t="s">
        <v>656</v>
      </c>
      <c r="F130" s="375">
        <f>ASPA!AU12</f>
        <v>0</v>
      </c>
      <c r="G130" s="375">
        <f>ASPA!AV12</f>
        <v>0</v>
      </c>
      <c r="H130" s="375">
        <f>ASPA!AW12</f>
        <v>0</v>
      </c>
      <c r="I130" s="375">
        <f>ASPA!AX12</f>
        <v>0</v>
      </c>
      <c r="J130" s="375">
        <f>ASPA!AY12</f>
        <v>0</v>
      </c>
      <c r="K130" s="375">
        <f>ASPA!AZ12</f>
        <v>0</v>
      </c>
      <c r="L130" s="439">
        <f>ASPA!BA12</f>
        <v>0</v>
      </c>
    </row>
    <row r="131" spans="1:12" ht="48" customHeight="1">
      <c r="A131" s="902"/>
      <c r="B131" s="894"/>
      <c r="C131" s="407" t="s">
        <v>157</v>
      </c>
      <c r="D131" s="407" t="str">
        <f>ASPA!D13</f>
        <v>الانتهاء من إعداد نموذج التطوير المهني المستمر مدى الحياة في الخدمة المدنية. </v>
      </c>
      <c r="E131" s="560"/>
      <c r="F131" s="375">
        <f>ASPA!AU13</f>
        <v>27150</v>
      </c>
      <c r="G131" s="375">
        <f>ASPA!AV13</f>
        <v>0</v>
      </c>
      <c r="H131" s="375">
        <f>ASPA!AW13</f>
        <v>16180</v>
      </c>
      <c r="I131" s="375">
        <f>ASPA!AX13</f>
        <v>0</v>
      </c>
      <c r="J131" s="375">
        <f>ASPA!AY13</f>
        <v>0</v>
      </c>
      <c r="K131" s="375">
        <f>ASPA!AZ13</f>
        <v>0</v>
      </c>
      <c r="L131" s="439">
        <f>ASPA!BA13</f>
        <v>10970</v>
      </c>
    </row>
    <row r="132" spans="1:12" ht="43.5" customHeight="1">
      <c r="A132" s="902"/>
      <c r="B132" s="894"/>
      <c r="C132" s="407" t="s">
        <v>158</v>
      </c>
      <c r="D132" s="407" t="str">
        <f>ASPA!D15</f>
        <v>خطط التدريب الإلزامي أثناء فترة الاختبار.</v>
      </c>
      <c r="E132" s="560"/>
      <c r="F132" s="375">
        <f>ASPA!AU15</f>
        <v>271840</v>
      </c>
      <c r="G132" s="375">
        <f>ASPA!AV15</f>
        <v>110266.40000000001</v>
      </c>
      <c r="H132" s="375">
        <f>ASPA!AW15</f>
        <v>123840</v>
      </c>
      <c r="I132" s="375">
        <f>ASPA!AX15</f>
        <v>0</v>
      </c>
      <c r="J132" s="375">
        <f>ASPA!AY15</f>
        <v>0</v>
      </c>
      <c r="K132" s="375">
        <f>ASPA!AZ15</f>
        <v>0</v>
      </c>
      <c r="L132" s="439">
        <f>ASPA!BA15</f>
        <v>37733.59999999998</v>
      </c>
    </row>
    <row r="133" spans="1:12" ht="51.75" customHeight="1">
      <c r="A133" s="902"/>
      <c r="B133" s="894"/>
      <c r="C133" s="407" t="s">
        <v>159</v>
      </c>
      <c r="D133" s="407" t="str">
        <f>ASPA!D18</f>
        <v>إعداد الخطط السنوية لتدريب شاغلي المناصب الإدارية المتوسطة والعليا - على أساس نموذج القيادة. </v>
      </c>
      <c r="E133" s="560"/>
      <c r="F133" s="375">
        <f>ASPA!AU18</f>
        <v>159079</v>
      </c>
      <c r="G133" s="375">
        <f>ASPA!AV18</f>
        <v>53291.465</v>
      </c>
      <c r="H133" s="375">
        <f>ASPA!AW18</f>
        <v>159079</v>
      </c>
      <c r="I133" s="375">
        <f>ASPA!AX18</f>
        <v>0</v>
      </c>
      <c r="J133" s="375">
        <f>ASPA!AY18</f>
        <v>0</v>
      </c>
      <c r="K133" s="375">
        <f>ASPA!AZ18</f>
        <v>0</v>
      </c>
      <c r="L133" s="440">
        <f>ASPA!BA18</f>
        <v>-53291.465</v>
      </c>
    </row>
    <row r="134" spans="1:12" ht="46.5" customHeight="1">
      <c r="A134" s="902"/>
      <c r="B134" s="894"/>
      <c r="C134" s="407" t="s">
        <v>160</v>
      </c>
      <c r="D134" s="407" t="str">
        <f>ASPA!D21</f>
        <v>تقييم المنهجيات البديلة لتدريب المديرين بما في ذلك أيضًا المنهجية التي تعتمد على الكفاءة. </v>
      </c>
      <c r="E134" s="560"/>
      <c r="F134" s="375">
        <f>ASPA!AU21</f>
        <v>6900</v>
      </c>
      <c r="G134" s="375">
        <f>ASPA!AV21</f>
        <v>2311.5</v>
      </c>
      <c r="H134" s="375">
        <f>ASPA!AW21</f>
        <v>0</v>
      </c>
      <c r="I134" s="375">
        <f>ASPA!AX21</f>
        <v>0</v>
      </c>
      <c r="J134" s="375">
        <f>ASPA!AY21</f>
        <v>0</v>
      </c>
      <c r="K134" s="375">
        <f>ASPA!AZ21</f>
        <v>0</v>
      </c>
      <c r="L134" s="439">
        <f>ASPA!BA21</f>
        <v>4588.5</v>
      </c>
    </row>
    <row r="135" spans="1:12" ht="51" customHeight="1" thickBot="1">
      <c r="A135" s="902"/>
      <c r="B135" s="895"/>
      <c r="C135" s="441" t="s">
        <v>161</v>
      </c>
      <c r="D135" s="441" t="str">
        <f>ASPA!D23</f>
        <v>تطوير منصة التعليم الإلكتروني والتدريب الإلكتروني وإعداد البرامج التي تستخدم هذه المنصة.</v>
      </c>
      <c r="E135" s="441"/>
      <c r="F135" s="442">
        <f>ASPA!AU23</f>
        <v>146000</v>
      </c>
      <c r="G135" s="442">
        <f>ASPA!AV23</f>
        <v>0</v>
      </c>
      <c r="H135" s="442">
        <f>ASPA!AW23</f>
        <v>146000</v>
      </c>
      <c r="I135" s="442">
        <f>ASPA!AX23</f>
        <v>0</v>
      </c>
      <c r="J135" s="442">
        <f>ASPA!AY23</f>
        <v>0</v>
      </c>
      <c r="K135" s="442">
        <f>ASPA!AZ23</f>
        <v>0</v>
      </c>
      <c r="L135" s="443">
        <f>ASPA!BA23</f>
        <v>0</v>
      </c>
    </row>
    <row r="136" spans="1:12" ht="52.5" customHeight="1">
      <c r="A136" s="899">
        <v>6.1</v>
      </c>
      <c r="B136" s="859" t="s">
        <v>552</v>
      </c>
      <c r="C136" s="410" t="s">
        <v>162</v>
      </c>
      <c r="D136" s="817" t="s">
        <v>1234</v>
      </c>
      <c r="E136" s="795" t="s">
        <v>657</v>
      </c>
      <c r="F136" s="435">
        <f>ASPA!AU26</f>
        <v>0</v>
      </c>
      <c r="G136" s="435">
        <f>ASPA!AV26</f>
        <v>0</v>
      </c>
      <c r="H136" s="435">
        <f>ASPA!AW26</f>
        <v>0</v>
      </c>
      <c r="I136" s="435">
        <f>ASPA!AX26</f>
        <v>0</v>
      </c>
      <c r="J136" s="435">
        <f>ASPA!AY26</f>
        <v>0</v>
      </c>
      <c r="K136" s="435">
        <f>ASPA!AZ26</f>
        <v>0</v>
      </c>
      <c r="L136" s="435">
        <f>ASPA!BA26</f>
        <v>0</v>
      </c>
    </row>
    <row r="137" spans="1:12" ht="56.25" customHeight="1">
      <c r="A137" s="900"/>
      <c r="B137" s="859"/>
      <c r="C137" s="407" t="s">
        <v>163</v>
      </c>
      <c r="D137" s="818" t="s">
        <v>1235</v>
      </c>
      <c r="E137" s="795" t="s">
        <v>658</v>
      </c>
      <c r="F137" s="382">
        <f>ASPA!AU29</f>
        <v>0</v>
      </c>
      <c r="G137" s="382">
        <f>ASPA!AV29</f>
        <v>0</v>
      </c>
      <c r="H137" s="382">
        <f>ASPA!AW29</f>
        <v>0</v>
      </c>
      <c r="I137" s="382">
        <f>ASPA!AX29</f>
        <v>0</v>
      </c>
      <c r="J137" s="382">
        <f>ASPA!AY29</f>
        <v>0</v>
      </c>
      <c r="K137" s="382">
        <f>ASPA!AZ29</f>
        <v>0</v>
      </c>
      <c r="L137" s="382">
        <f>ASPA!BA29</f>
        <v>0</v>
      </c>
    </row>
    <row r="138" spans="1:12" ht="46.5" customHeight="1">
      <c r="A138" s="900"/>
      <c r="B138" s="859"/>
      <c r="C138" s="407" t="s">
        <v>164</v>
      </c>
      <c r="D138" s="818" t="s">
        <v>1236</v>
      </c>
      <c r="E138" s="560"/>
      <c r="F138" s="375">
        <f>ASPA!AU33</f>
        <v>18120</v>
      </c>
      <c r="G138" s="375">
        <f>ASPA!AV33</f>
        <v>12140.400000000001</v>
      </c>
      <c r="H138" s="375">
        <f>ASPA!AW33</f>
        <v>5980</v>
      </c>
      <c r="I138" s="375">
        <f>ASPA!AX33</f>
        <v>0</v>
      </c>
      <c r="J138" s="375">
        <f>ASPA!AY33</f>
        <v>0</v>
      </c>
      <c r="K138" s="375">
        <f>ASPA!AZ33</f>
        <v>0</v>
      </c>
      <c r="L138" s="375">
        <f>ASPA!BA33</f>
        <v>-0.4000000000005457</v>
      </c>
    </row>
    <row r="139" spans="1:12" ht="63" customHeight="1">
      <c r="A139" s="900"/>
      <c r="B139" s="859"/>
      <c r="C139" s="407" t="s">
        <v>165</v>
      </c>
      <c r="D139" s="818" t="s">
        <v>1237</v>
      </c>
      <c r="E139" s="560"/>
      <c r="F139" s="375">
        <f>ASPA!AU35</f>
        <v>33000</v>
      </c>
      <c r="G139" s="375">
        <f>ASPA!AV35</f>
        <v>0</v>
      </c>
      <c r="H139" s="375">
        <f>ASPA!AW35</f>
        <v>33000</v>
      </c>
      <c r="I139" s="375">
        <f>ASPA!AX35</f>
        <v>0</v>
      </c>
      <c r="J139" s="375">
        <f>ASPA!AY35</f>
        <v>0</v>
      </c>
      <c r="K139" s="375">
        <f>ASPA!AZ35</f>
        <v>0</v>
      </c>
      <c r="L139" s="375">
        <f>ASPA!BA35</f>
        <v>0</v>
      </c>
    </row>
    <row r="140" spans="1:12" ht="49.5" customHeight="1">
      <c r="A140" s="900"/>
      <c r="B140" s="859"/>
      <c r="C140" s="407" t="s">
        <v>166</v>
      </c>
      <c r="D140" s="407" t="str">
        <f>ASPA!D37</f>
        <v>العمل على الوصول إلى وضع مركز التميز على مستوى وطني ودولي. </v>
      </c>
      <c r="E140" s="560"/>
      <c r="F140" s="375">
        <f>ASPA!AU37</f>
        <v>25000</v>
      </c>
      <c r="G140" s="375">
        <f>ASPA!AV37</f>
        <v>0</v>
      </c>
      <c r="H140" s="375">
        <f>ASPA!AW37</f>
        <v>25000</v>
      </c>
      <c r="I140" s="375">
        <f>ASPA!AX37</f>
        <v>0</v>
      </c>
      <c r="J140" s="375">
        <f>ASPA!AY37</f>
        <v>0</v>
      </c>
      <c r="K140" s="375">
        <f>ASPA!AZ37</f>
        <v>0</v>
      </c>
      <c r="L140" s="375">
        <f>ASPA!BA37</f>
        <v>0</v>
      </c>
    </row>
    <row r="141" spans="1:12" ht="45" customHeight="1">
      <c r="A141" s="900"/>
      <c r="B141" s="859"/>
      <c r="C141" s="407" t="s">
        <v>167</v>
      </c>
      <c r="D141" s="407" t="str">
        <f>ASPA!D39</f>
        <v>تطوير النظم التي تضمن إدارة كافة الموارد بفعالية وكفاءة بأقل تكلفة. </v>
      </c>
      <c r="E141" s="795" t="s">
        <v>659</v>
      </c>
      <c r="F141" s="375">
        <f>ASPA!AU39</f>
        <v>0</v>
      </c>
      <c r="G141" s="375">
        <f>ASPA!AV39</f>
        <v>0</v>
      </c>
      <c r="H141" s="375">
        <f>ASPA!AW39</f>
        <v>0</v>
      </c>
      <c r="I141" s="375">
        <f>ASPA!AX39</f>
        <v>0</v>
      </c>
      <c r="J141" s="375">
        <f>ASPA!AY39</f>
        <v>0</v>
      </c>
      <c r="K141" s="375">
        <f>ASPA!AZ39</f>
        <v>0</v>
      </c>
      <c r="L141" s="375">
        <f>ASPA!BA39</f>
        <v>0</v>
      </c>
    </row>
    <row r="142" spans="1:12" ht="33" customHeight="1">
      <c r="A142" s="900"/>
      <c r="B142" s="859"/>
      <c r="C142" s="407" t="s">
        <v>168</v>
      </c>
      <c r="D142" s="407" t="str">
        <f>ASPA!D41</f>
        <v>تطوير نظام حديث لإدارة قاعدة البيانات ضمن إطار نظام معلومات إدارة الموارد البشرية. </v>
      </c>
      <c r="E142" s="560"/>
      <c r="F142" s="375">
        <f>ASPA!AU41</f>
        <v>0</v>
      </c>
      <c r="G142" s="375">
        <f>ASPA!AV41</f>
        <v>0</v>
      </c>
      <c r="H142" s="375">
        <f>ASPA!AW41</f>
        <v>0</v>
      </c>
      <c r="I142" s="375">
        <f>ASPA!AX41</f>
        <v>0</v>
      </c>
      <c r="J142" s="375">
        <f>ASPA!AY41</f>
        <v>0</v>
      </c>
      <c r="K142" s="375">
        <f>ASPA!AZ41</f>
        <v>0</v>
      </c>
      <c r="L142" s="375">
        <f>ASPA!BA41</f>
        <v>0</v>
      </c>
    </row>
    <row r="143" spans="1:12" ht="40.5" customHeight="1">
      <c r="A143" s="900"/>
      <c r="B143" s="859"/>
      <c r="C143" s="407" t="s">
        <v>169</v>
      </c>
      <c r="D143" s="407" t="str">
        <f>ASPA!D42</f>
        <v>تطوير مكتبة ASPA والمضي قدمًا نحو تأسيس مركز للمعلومات الإدارية. </v>
      </c>
      <c r="E143" s="560"/>
      <c r="F143" s="375">
        <f>ASPA!AU42</f>
        <v>40500</v>
      </c>
      <c r="G143" s="375">
        <f>ASPA!AV42</f>
        <v>26100</v>
      </c>
      <c r="H143" s="375">
        <f>ASPA!AW42</f>
        <v>14400</v>
      </c>
      <c r="I143" s="375">
        <f>ASPA!AX42</f>
        <v>0</v>
      </c>
      <c r="J143" s="375">
        <f>ASPA!AY42</f>
        <v>0</v>
      </c>
      <c r="K143" s="375">
        <f>ASPA!AZ42</f>
        <v>0</v>
      </c>
      <c r="L143" s="375">
        <f>ASPA!BA42</f>
        <v>0</v>
      </c>
    </row>
    <row r="144" spans="1:12" ht="46.5" customHeight="1">
      <c r="A144" s="900"/>
      <c r="B144" s="859"/>
      <c r="C144" s="407" t="s">
        <v>170</v>
      </c>
      <c r="D144" s="407" t="str">
        <f>ASPA!D44</f>
        <v>التأكد من تواجد منشآت ASPA في مبنى يناسب الغرض منها.</v>
      </c>
      <c r="E144" s="560"/>
      <c r="F144" s="375">
        <f>ASPA!AU44</f>
        <v>70000</v>
      </c>
      <c r="G144" s="375">
        <f>ASPA!AV44</f>
        <v>70000</v>
      </c>
      <c r="H144" s="375">
        <f>ASPA!AW44</f>
        <v>0</v>
      </c>
      <c r="I144" s="375">
        <f>ASPA!AX44</f>
        <v>0</v>
      </c>
      <c r="J144" s="375">
        <f>ASPA!AY44</f>
        <v>0</v>
      </c>
      <c r="K144" s="375">
        <f>ASPA!AZ44</f>
        <v>0</v>
      </c>
      <c r="L144" s="375">
        <f>ASPA!BA44</f>
        <v>0</v>
      </c>
    </row>
    <row r="145" spans="1:19" ht="15.75" customHeight="1">
      <c r="A145" s="384"/>
      <c r="B145" s="850" t="s">
        <v>553</v>
      </c>
      <c r="C145" s="851"/>
      <c r="D145" s="852"/>
      <c r="E145" s="565"/>
      <c r="F145" s="385">
        <f aca="true" t="shared" si="10" ref="F145:L145">SUM(F105:F144)</f>
        <v>3601931</v>
      </c>
      <c r="G145" s="385">
        <f t="shared" si="10"/>
        <v>567106.515</v>
      </c>
      <c r="H145" s="385">
        <f t="shared" si="10"/>
        <v>1372024.25</v>
      </c>
      <c r="I145" s="385">
        <f t="shared" si="10"/>
        <v>0</v>
      </c>
      <c r="J145" s="385">
        <f t="shared" si="10"/>
        <v>348000</v>
      </c>
      <c r="K145" s="385">
        <f t="shared" si="10"/>
        <v>0</v>
      </c>
      <c r="L145" s="385">
        <f t="shared" si="10"/>
        <v>1314800.235</v>
      </c>
      <c r="M145" s="489">
        <f>'الخدمة المدنية وإدارة الموارد ا'!AL37+ASPA!AM45+'الشفافية ومكافحة الفساد '!AL15</f>
        <v>3601931</v>
      </c>
      <c r="N145" s="489">
        <f>'الخدمة المدنية وإدارة الموارد ا'!AM37+ASPA!AN45+'الشفافية ومكافحة الفساد '!AM15</f>
        <v>567106.515</v>
      </c>
      <c r="O145" s="489">
        <f>'الخدمة المدنية وإدارة الموارد ا'!AN37+ASPA!AO45+'الشفافية ومكافحة الفساد '!AN15</f>
        <v>1372024.25</v>
      </c>
      <c r="P145" s="489">
        <f>'الخدمة المدنية وإدارة الموارد ا'!AO37+ASPA!AP45+'الشفافية ومكافحة الفساد '!AO15</f>
        <v>0</v>
      </c>
      <c r="Q145" s="489">
        <f>'الخدمة المدنية وإدارة الموارد ا'!AP37+ASPA!AQ45+'الشفافية ومكافحة الفساد '!AP15</f>
        <v>348000</v>
      </c>
      <c r="R145" s="489">
        <f>'الخدمة المدنية وإدارة الموارد ا'!AQ37+ASPA!AR45+'الشفافية ومكافحة الفساد '!AQ15</f>
        <v>0</v>
      </c>
      <c r="S145" s="489">
        <f>'الخدمة المدنية وإدارة الموارد ا'!AR37+ASPA!AS45+'الشفافية ومكافحة الفساد '!AR15</f>
        <v>1314800.2349999999</v>
      </c>
    </row>
    <row r="146" spans="1:19" ht="39.75" customHeight="1">
      <c r="A146" s="389">
        <v>7</v>
      </c>
      <c r="B146" s="862" t="s">
        <v>554</v>
      </c>
      <c r="C146" s="863"/>
      <c r="D146" s="863"/>
      <c r="E146" s="863"/>
      <c r="F146" s="863"/>
      <c r="G146" s="863"/>
      <c r="H146" s="863"/>
      <c r="I146" s="863"/>
      <c r="J146" s="863"/>
      <c r="K146" s="863"/>
      <c r="L146" s="864"/>
      <c r="M146" s="488">
        <f>F145-M145</f>
        <v>0</v>
      </c>
      <c r="N146" s="488">
        <f aca="true" t="shared" si="11" ref="N146:S146">G145-N145</f>
        <v>0</v>
      </c>
      <c r="O146" s="488">
        <f t="shared" si="11"/>
        <v>0</v>
      </c>
      <c r="P146" s="488">
        <f t="shared" si="11"/>
        <v>0</v>
      </c>
      <c r="Q146" s="488">
        <f t="shared" si="11"/>
        <v>0</v>
      </c>
      <c r="R146" s="488">
        <f t="shared" si="11"/>
        <v>0</v>
      </c>
      <c r="S146" s="488">
        <f t="shared" si="11"/>
        <v>0</v>
      </c>
    </row>
    <row r="147" spans="1:12" ht="35.25" customHeight="1">
      <c r="A147" s="845">
        <v>7.1</v>
      </c>
      <c r="B147" s="846" t="s">
        <v>1179</v>
      </c>
      <c r="C147" s="407" t="s">
        <v>184</v>
      </c>
      <c r="D147" s="407" t="str">
        <f>'الخدمة المدنية وإدارة الموارد ا'!E39</f>
        <v>دراسة تقييم نظام الأجور</v>
      </c>
      <c r="E147" s="560"/>
      <c r="F147" s="375">
        <f>'الخدمة المدنية وإدارة الموارد ا'!AL39</f>
        <v>480000</v>
      </c>
      <c r="G147" s="375">
        <f>'الخدمة المدنية وإدارة الموارد ا'!AM39</f>
        <v>50000</v>
      </c>
      <c r="H147" s="375">
        <f>'الخدمة المدنية وإدارة الموارد ا'!AN39</f>
        <v>0</v>
      </c>
      <c r="I147" s="375">
        <f>'الخدمة المدنية وإدارة الموارد ا'!AO39</f>
        <v>0</v>
      </c>
      <c r="J147" s="375">
        <f>'الخدمة المدنية وإدارة الموارد ا'!AP39</f>
        <v>0</v>
      </c>
      <c r="K147" s="375">
        <f>'الخدمة المدنية وإدارة الموارد ا'!AQ39</f>
        <v>0</v>
      </c>
      <c r="L147" s="375">
        <f>'الخدمة المدنية وإدارة الموارد ا'!AR39</f>
        <v>430000</v>
      </c>
    </row>
    <row r="148" spans="1:12" ht="36.75" customHeight="1">
      <c r="A148" s="845"/>
      <c r="B148" s="846"/>
      <c r="C148" s="407" t="s">
        <v>185</v>
      </c>
      <c r="D148" s="407" t="str">
        <f>'الخدمة المدنية وإدارة الموارد ا'!E40</f>
        <v>إعداد مسودة الاستراتيجية. </v>
      </c>
      <c r="E148" s="560"/>
      <c r="F148" s="375">
        <f>'الخدمة المدنية وإدارة الموارد ا'!AL40</f>
        <v>325000</v>
      </c>
      <c r="G148" s="375">
        <f>'الخدمة المدنية وإدارة الموارد ا'!AM40</f>
        <v>30000</v>
      </c>
      <c r="H148" s="375">
        <f>'الخدمة المدنية وإدارة الموارد ا'!AN40</f>
        <v>0</v>
      </c>
      <c r="I148" s="375">
        <f>'الخدمة المدنية وإدارة الموارد ا'!AO40</f>
        <v>0</v>
      </c>
      <c r="J148" s="375">
        <f>'الخدمة المدنية وإدارة الموارد ا'!AP40</f>
        <v>0</v>
      </c>
      <c r="K148" s="375">
        <f>'الخدمة المدنية وإدارة الموارد ا'!AQ40</f>
        <v>0</v>
      </c>
      <c r="L148" s="375">
        <f>'الخدمة المدنية وإدارة الموارد ا'!AR40</f>
        <v>295000</v>
      </c>
    </row>
    <row r="149" spans="1:12" ht="66" customHeight="1">
      <c r="A149" s="377">
        <v>7.2</v>
      </c>
      <c r="B149" s="795" t="s">
        <v>555</v>
      </c>
      <c r="C149" s="407" t="s">
        <v>186</v>
      </c>
      <c r="D149" s="407" t="str">
        <f>'الخدمة المدنية وإدارة الموارد ا'!E41</f>
        <v>تبني الهيكل الجديد للأجور. </v>
      </c>
      <c r="E149" s="795" t="s">
        <v>556</v>
      </c>
      <c r="F149" s="375">
        <f>'الخدمة المدنية وإدارة الموارد ا'!AL41</f>
        <v>0</v>
      </c>
      <c r="G149" s="375">
        <f>'الخدمة المدنية وإدارة الموارد ا'!AM41</f>
        <v>0</v>
      </c>
      <c r="H149" s="375">
        <f>'الخدمة المدنية وإدارة الموارد ا'!AN41</f>
        <v>0</v>
      </c>
      <c r="I149" s="375">
        <f>'الخدمة المدنية وإدارة الموارد ا'!AO41</f>
        <v>0</v>
      </c>
      <c r="J149" s="375">
        <f>'الخدمة المدنية وإدارة الموارد ا'!AP41</f>
        <v>0</v>
      </c>
      <c r="K149" s="375">
        <f>'الخدمة المدنية وإدارة الموارد ا'!AQ41</f>
        <v>0</v>
      </c>
      <c r="L149" s="375">
        <f>'الخدمة المدنية وإدارة الموارد ا'!AR41</f>
        <v>0</v>
      </c>
    </row>
    <row r="150" spans="1:12" ht="76.5">
      <c r="A150" s="377">
        <v>7.3</v>
      </c>
      <c r="B150" s="795" t="s">
        <v>557</v>
      </c>
      <c r="C150" s="407" t="s">
        <v>187</v>
      </c>
      <c r="D150" s="407" t="str">
        <f>'الخدمة المدنية وإدارة الموارد ا'!E42</f>
        <v>التصنيف الجديد للأجور وتعديل قانون نسب الأجور.</v>
      </c>
      <c r="E150" s="560"/>
      <c r="F150" s="375">
        <f>'الخدمة المدنية وإدارة الموارد ا'!AL42</f>
        <v>5000</v>
      </c>
      <c r="G150" s="375">
        <f>'الخدمة المدنية وإدارة الموارد ا'!AM42</f>
        <v>5000</v>
      </c>
      <c r="H150" s="375">
        <f>'الخدمة المدنية وإدارة الموارد ا'!AN42</f>
        <v>0</v>
      </c>
      <c r="I150" s="375">
        <f>'الخدمة المدنية وإدارة الموارد ا'!AO42</f>
        <v>0</v>
      </c>
      <c r="J150" s="375">
        <f>'الخدمة المدنية وإدارة الموارد ا'!AP42</f>
        <v>0</v>
      </c>
      <c r="K150" s="375">
        <f>'الخدمة المدنية وإدارة الموارد ا'!AQ42</f>
        <v>0</v>
      </c>
      <c r="L150" s="375">
        <f>'الخدمة المدنية وإدارة الموارد ا'!AR42</f>
        <v>0</v>
      </c>
    </row>
    <row r="151" spans="1:19" ht="15.75" customHeight="1">
      <c r="A151" s="384"/>
      <c r="B151" s="850" t="s">
        <v>558</v>
      </c>
      <c r="C151" s="851"/>
      <c r="D151" s="852"/>
      <c r="E151" s="565"/>
      <c r="F151" s="385">
        <f>SUM(F147:F150)</f>
        <v>810000</v>
      </c>
      <c r="G151" s="385">
        <f aca="true" t="shared" si="12" ref="G151:L151">SUM(G147:G150)</f>
        <v>85000</v>
      </c>
      <c r="H151" s="385">
        <f t="shared" si="12"/>
        <v>0</v>
      </c>
      <c r="I151" s="385">
        <f t="shared" si="12"/>
        <v>0</v>
      </c>
      <c r="J151" s="385">
        <f t="shared" si="12"/>
        <v>0</v>
      </c>
      <c r="K151" s="385">
        <f t="shared" si="12"/>
        <v>0</v>
      </c>
      <c r="L151" s="385">
        <f t="shared" si="12"/>
        <v>725000</v>
      </c>
      <c r="M151" s="489">
        <f>'الخدمة المدنية وإدارة الموارد ا'!AL43</f>
        <v>810000</v>
      </c>
      <c r="N151" s="489">
        <f>'الخدمة المدنية وإدارة الموارد ا'!AM43</f>
        <v>85000</v>
      </c>
      <c r="O151" s="489">
        <f>'الخدمة المدنية وإدارة الموارد ا'!AN43</f>
        <v>0</v>
      </c>
      <c r="P151" s="489">
        <f>'الخدمة المدنية وإدارة الموارد ا'!AO43</f>
        <v>0</v>
      </c>
      <c r="Q151" s="489">
        <f>'الخدمة المدنية وإدارة الموارد ا'!AP43</f>
        <v>0</v>
      </c>
      <c r="R151" s="489">
        <f>'الخدمة المدنية وإدارة الموارد ا'!AQ43</f>
        <v>0</v>
      </c>
      <c r="S151" s="489">
        <f>'الخدمة المدنية وإدارة الموارد ا'!AR43</f>
        <v>725000</v>
      </c>
    </row>
    <row r="152" spans="1:19" ht="27" customHeight="1">
      <c r="A152" s="389">
        <v>8</v>
      </c>
      <c r="B152" s="853" t="s">
        <v>457</v>
      </c>
      <c r="C152" s="854"/>
      <c r="D152" s="854"/>
      <c r="E152" s="854"/>
      <c r="F152" s="854"/>
      <c r="G152" s="854"/>
      <c r="H152" s="854"/>
      <c r="I152" s="854"/>
      <c r="J152" s="854"/>
      <c r="K152" s="854"/>
      <c r="L152" s="855"/>
      <c r="M152" s="488">
        <f>F151-M151</f>
        <v>0</v>
      </c>
      <c r="N152" s="488">
        <f aca="true" t="shared" si="13" ref="N152:S152">G151-N151</f>
        <v>0</v>
      </c>
      <c r="O152" s="488">
        <f t="shared" si="13"/>
        <v>0</v>
      </c>
      <c r="P152" s="488">
        <f t="shared" si="13"/>
        <v>0</v>
      </c>
      <c r="Q152" s="488">
        <f t="shared" si="13"/>
        <v>0</v>
      </c>
      <c r="R152" s="488">
        <f t="shared" si="13"/>
        <v>0</v>
      </c>
      <c r="S152" s="488">
        <f t="shared" si="13"/>
        <v>0</v>
      </c>
    </row>
    <row r="153" spans="1:12" ht="41.25" customHeight="1">
      <c r="A153" s="845">
        <v>8.1</v>
      </c>
      <c r="B153" s="846" t="s">
        <v>559</v>
      </c>
      <c r="C153" s="407" t="s">
        <v>134</v>
      </c>
      <c r="D153" s="407" t="str">
        <f>الابتكار!E16</f>
        <v>إعادة هندسة الخدمات العامة - تحديد وتقييم وتعريف الإجراءات القياسية لأكثر من 300 خدمة عامة</v>
      </c>
      <c r="E153" s="560"/>
      <c r="F153" s="375">
        <f>الابتكار!AM16</f>
        <v>5825000</v>
      </c>
      <c r="G153" s="375">
        <f>الابتكار!AN16</f>
        <v>1510422.4999999998</v>
      </c>
      <c r="H153" s="375">
        <f>الابتكار!AO16</f>
        <v>0</v>
      </c>
      <c r="I153" s="375">
        <f>الابتكار!AP16</f>
        <v>0</v>
      </c>
      <c r="J153" s="375">
        <f>الابتكار!AQ16</f>
        <v>0</v>
      </c>
      <c r="K153" s="375">
        <f>الابتكار!AR16</f>
        <v>0</v>
      </c>
      <c r="L153" s="375">
        <f>الابتكار!AS16</f>
        <v>4314577.5</v>
      </c>
    </row>
    <row r="154" spans="1:12" ht="49.5" customHeight="1">
      <c r="A154" s="845"/>
      <c r="B154" s="846"/>
      <c r="C154" s="407" t="s">
        <v>135</v>
      </c>
      <c r="D154" s="407" t="str">
        <f>الابتكار!E17</f>
        <v>أدلة تنظيم إجراءات الخدمة يتم صياغتها؛</v>
      </c>
      <c r="E154" s="560"/>
      <c r="F154" s="375">
        <f>الابتكار!AM17</f>
        <v>437500</v>
      </c>
      <c r="G154" s="375">
        <f>الابتكار!AN17</f>
        <v>113443.74999999999</v>
      </c>
      <c r="H154" s="375">
        <f>الابتكار!AO17</f>
        <v>0</v>
      </c>
      <c r="I154" s="375">
        <f>الابتكار!AP17</f>
        <v>0</v>
      </c>
      <c r="J154" s="375">
        <f>الابتكار!AQ17</f>
        <v>0</v>
      </c>
      <c r="K154" s="375">
        <f>الابتكار!AR17</f>
        <v>0</v>
      </c>
      <c r="L154" s="375">
        <f>الابتكار!AS17</f>
        <v>324056.25</v>
      </c>
    </row>
    <row r="155" spans="1:12" ht="84" customHeight="1">
      <c r="A155" s="377">
        <v>8.2</v>
      </c>
      <c r="B155" s="795" t="s">
        <v>461</v>
      </c>
      <c r="C155" s="407" t="s">
        <v>136</v>
      </c>
      <c r="D155" s="407" t="str">
        <f>الابتكار!E18</f>
        <v>دراسة جدوى نموذج الخدمات التي تركز على المواطن.</v>
      </c>
      <c r="E155" s="560"/>
      <c r="F155" s="375">
        <f>الابتكار!AM18</f>
        <v>1350000</v>
      </c>
      <c r="G155" s="375">
        <f>الابتكار!AN18</f>
        <v>350000</v>
      </c>
      <c r="H155" s="375">
        <f>الابتكار!AO18</f>
        <v>0</v>
      </c>
      <c r="I155" s="375">
        <f>الابتكار!AP18</f>
        <v>0</v>
      </c>
      <c r="J155" s="375">
        <f>الابتكار!AQ18</f>
        <v>1000000</v>
      </c>
      <c r="K155" s="375">
        <f>الابتكار!AR18</f>
        <v>0</v>
      </c>
      <c r="L155" s="375">
        <f>الابتكار!AS18</f>
        <v>0</v>
      </c>
    </row>
    <row r="156" spans="1:12" ht="57" customHeight="1">
      <c r="A156" s="377">
        <v>8.3</v>
      </c>
      <c r="B156" s="795" t="s">
        <v>464</v>
      </c>
      <c r="C156" s="407" t="s">
        <v>137</v>
      </c>
      <c r="D156" s="407" t="str">
        <f>الابتكار!E19</f>
        <v>إجراء دراسة إعادة تنظيم المؤسسات العامة.</v>
      </c>
      <c r="E156" s="560"/>
      <c r="F156" s="375">
        <f>الابتكار!AM19</f>
        <v>1206250</v>
      </c>
      <c r="G156" s="375">
        <f>الابتكار!AN19</f>
        <v>312780.62499999994</v>
      </c>
      <c r="H156" s="375">
        <f>الابتكار!AO19</f>
        <v>25992</v>
      </c>
      <c r="I156" s="375">
        <f>الابتكار!AP19</f>
        <v>0</v>
      </c>
      <c r="J156" s="375">
        <f>الابتكار!AQ19</f>
        <v>0</v>
      </c>
      <c r="K156" s="375">
        <f>الابتكار!AR19</f>
        <v>0</v>
      </c>
      <c r="L156" s="375">
        <f>الابتكار!AS19</f>
        <v>867477.375</v>
      </c>
    </row>
    <row r="157" spans="1:12" ht="25.5">
      <c r="A157" s="845">
        <v>8.4</v>
      </c>
      <c r="B157" s="846" t="s">
        <v>560</v>
      </c>
      <c r="C157" s="407" t="s">
        <v>188</v>
      </c>
      <c r="D157" s="818" t="s">
        <v>1238</v>
      </c>
      <c r="E157" s="560"/>
      <c r="F157" s="375">
        <f>الابتكار!AM20</f>
        <v>241152</v>
      </c>
      <c r="G157" s="375">
        <f>الابتكار!AN20</f>
        <v>35714.6112</v>
      </c>
      <c r="H157" s="375">
        <f>الابتكار!AO20</f>
        <v>0</v>
      </c>
      <c r="I157" s="375">
        <f>الابتكار!AP20</f>
        <v>0</v>
      </c>
      <c r="J157" s="375">
        <f>الابتكار!AQ20</f>
        <v>0</v>
      </c>
      <c r="K157" s="375">
        <f>الابتكار!AR20</f>
        <v>0</v>
      </c>
      <c r="L157" s="375">
        <f>الابتكار!AS20</f>
        <v>205437.38880000002</v>
      </c>
    </row>
    <row r="158" spans="1:12" ht="59.25" customHeight="1">
      <c r="A158" s="845"/>
      <c r="B158" s="846"/>
      <c r="C158" s="407" t="s">
        <v>189</v>
      </c>
      <c r="D158" s="407" t="str">
        <f>الابتكار!E21</f>
        <v>تحديد المجالات الكلية التي تحتاج إلى التغيير (تحليل الفجوة القانونية).</v>
      </c>
      <c r="E158" s="560"/>
      <c r="F158" s="375">
        <f>الابتكار!AM21</f>
        <v>583750</v>
      </c>
      <c r="G158" s="375">
        <f>الابتكار!AN21</f>
        <v>0</v>
      </c>
      <c r="H158" s="375">
        <f>الابتكار!AO21</f>
        <v>0</v>
      </c>
      <c r="I158" s="375">
        <f>الابتكار!AP21</f>
        <v>0</v>
      </c>
      <c r="J158" s="375">
        <f>الابتكار!AQ21</f>
        <v>583750</v>
      </c>
      <c r="K158" s="375">
        <f>الابتكار!AR21</f>
        <v>0</v>
      </c>
      <c r="L158" s="375">
        <f>الابتكار!AS21</f>
        <v>0</v>
      </c>
    </row>
    <row r="159" spans="1:12" ht="67.5" customHeight="1">
      <c r="A159" s="377">
        <v>8.5</v>
      </c>
      <c r="B159" s="795" t="s">
        <v>1180</v>
      </c>
      <c r="C159" s="407" t="s">
        <v>190</v>
      </c>
      <c r="D159" s="407" t="str">
        <f>الابتكار!E22</f>
        <v>نماذج موحدة ومدونة للخدمات (300 خدمة موحدة تم تدوينها بالكامل بحلول 2015 وكافة الخدمات في 2017).</v>
      </c>
      <c r="E159" s="560"/>
      <c r="F159" s="375">
        <f>الابتكار!AM22</f>
        <v>150000</v>
      </c>
      <c r="G159" s="375">
        <f>الابتكار!AN22</f>
        <v>0</v>
      </c>
      <c r="H159" s="375">
        <f>الابتكار!AO22</f>
        <v>150000</v>
      </c>
      <c r="I159" s="375">
        <f>الابتكار!AP22</f>
        <v>0</v>
      </c>
      <c r="J159" s="375">
        <f>الابتكار!AQ22</f>
        <v>0</v>
      </c>
      <c r="K159" s="375">
        <f>الابتكار!AR22</f>
        <v>0</v>
      </c>
      <c r="L159" s="375">
        <f>الابتكار!AS22</f>
        <v>0</v>
      </c>
    </row>
    <row r="160" spans="1:12" ht="15.75" customHeight="1">
      <c r="A160" s="845">
        <v>8.6</v>
      </c>
      <c r="B160" s="846" t="s">
        <v>471</v>
      </c>
      <c r="C160" s="407" t="s">
        <v>191</v>
      </c>
      <c r="D160" s="407" t="str">
        <f>الابتكار!E23</f>
        <v>مقترحات للتغييرات القانونية / الإدارية.</v>
      </c>
      <c r="E160" s="560"/>
      <c r="F160" s="375">
        <f>الابتكار!AM23</f>
        <v>1096250</v>
      </c>
      <c r="G160" s="375">
        <f>الابتكار!AN23</f>
        <v>0</v>
      </c>
      <c r="H160" s="375">
        <f>الابتكار!AO23</f>
        <v>1096250</v>
      </c>
      <c r="I160" s="375">
        <f>الابتكار!AP23</f>
        <v>0</v>
      </c>
      <c r="J160" s="375">
        <f>الابتكار!AQ23</f>
        <v>0</v>
      </c>
      <c r="K160" s="375">
        <f>الابتكار!AR23</f>
        <v>0</v>
      </c>
      <c r="L160" s="375">
        <f>الابتكار!AS23</f>
        <v>0</v>
      </c>
    </row>
    <row r="161" spans="1:12" ht="22.5" customHeight="1">
      <c r="A161" s="845"/>
      <c r="B161" s="846"/>
      <c r="C161" s="407" t="s">
        <v>192</v>
      </c>
      <c r="D161" s="407" t="str">
        <f>الابتكار!E24</f>
        <v>اعتماد التعديلات على الإطار القانوني</v>
      </c>
      <c r="E161" s="560"/>
      <c r="F161" s="375">
        <f>الابتكار!AM24</f>
        <v>0</v>
      </c>
      <c r="G161" s="375">
        <f>الابتكار!AN24</f>
        <v>0</v>
      </c>
      <c r="H161" s="375">
        <f>الابتكار!AO24</f>
        <v>0</v>
      </c>
      <c r="I161" s="375">
        <f>الابتكار!AP24</f>
        <v>0</v>
      </c>
      <c r="J161" s="375">
        <f>الابتكار!AQ24</f>
        <v>0</v>
      </c>
      <c r="K161" s="375">
        <f>الابتكار!AR24</f>
        <v>0</v>
      </c>
      <c r="L161" s="375">
        <f>الابتكار!AS24</f>
        <v>0</v>
      </c>
    </row>
    <row r="162" spans="1:12" ht="30.75" customHeight="1">
      <c r="A162" s="845"/>
      <c r="B162" s="846"/>
      <c r="C162" s="407" t="s">
        <v>193</v>
      </c>
      <c r="D162" s="407" t="str">
        <f>الابتكار!E25</f>
        <v>إتمام تنفيذ التغييرات المؤسسية / الإدارية.</v>
      </c>
      <c r="E162" s="560"/>
      <c r="F162" s="375">
        <f>الابتكار!AM25</f>
        <v>0</v>
      </c>
      <c r="G162" s="375">
        <f>الابتكار!AN25</f>
        <v>0</v>
      </c>
      <c r="H162" s="375">
        <f>الابتكار!AO25</f>
        <v>0</v>
      </c>
      <c r="I162" s="375">
        <f>الابتكار!AP25</f>
        <v>0</v>
      </c>
      <c r="J162" s="375">
        <f>الابتكار!AQ25</f>
        <v>0</v>
      </c>
      <c r="K162" s="375">
        <f>الابتكار!AR25</f>
        <v>0</v>
      </c>
      <c r="L162" s="375">
        <f>الابتكار!AS25</f>
        <v>0</v>
      </c>
    </row>
    <row r="163" spans="1:12" ht="24" customHeight="1">
      <c r="A163" s="845">
        <v>8.7</v>
      </c>
      <c r="B163" s="846" t="s">
        <v>561</v>
      </c>
      <c r="C163" s="407" t="s">
        <v>194</v>
      </c>
      <c r="D163" s="407" t="str">
        <f>الابتكار!E26</f>
        <v>صوغ البرامج التدريبية.</v>
      </c>
      <c r="E163" s="560"/>
      <c r="F163" s="375">
        <f>الابتكار!AM26</f>
        <v>6000</v>
      </c>
      <c r="G163" s="375">
        <f>الابتكار!AN26</f>
        <v>0</v>
      </c>
      <c r="H163" s="375">
        <f>الابتكار!AO26</f>
        <v>0</v>
      </c>
      <c r="I163" s="375">
        <f>الابتكار!AP26</f>
        <v>0</v>
      </c>
      <c r="J163" s="375">
        <f>الابتكار!AQ26</f>
        <v>0</v>
      </c>
      <c r="K163" s="375">
        <f>الابتكار!AR26</f>
        <v>0</v>
      </c>
      <c r="L163" s="375">
        <f>الابتكار!AS26</f>
        <v>6000</v>
      </c>
    </row>
    <row r="164" spans="1:12" ht="51" customHeight="1">
      <c r="A164" s="845"/>
      <c r="B164" s="846"/>
      <c r="C164" s="407" t="s">
        <v>195</v>
      </c>
      <c r="D164" s="407" t="str">
        <f>الابتكار!E27</f>
        <v> الدورات التدريبية العامة (2017)</v>
      </c>
      <c r="E164" s="560"/>
      <c r="F164" s="375">
        <f>الابتكار!AM27</f>
        <v>74175</v>
      </c>
      <c r="G164" s="375">
        <f>الابتكار!AN27</f>
        <v>0</v>
      </c>
      <c r="H164" s="375">
        <f>الابتكار!AO27</f>
        <v>0</v>
      </c>
      <c r="I164" s="375">
        <f>الابتكار!AP27</f>
        <v>0</v>
      </c>
      <c r="J164" s="375">
        <f>الابتكار!AQ27</f>
        <v>0</v>
      </c>
      <c r="K164" s="375">
        <f>الابتكار!AR27</f>
        <v>0</v>
      </c>
      <c r="L164" s="375">
        <f>الابتكار!AS27</f>
        <v>74175</v>
      </c>
    </row>
    <row r="165" spans="1:19" ht="15.75" customHeight="1">
      <c r="A165" s="384"/>
      <c r="B165" s="850" t="s">
        <v>562</v>
      </c>
      <c r="C165" s="851"/>
      <c r="D165" s="852"/>
      <c r="E165" s="565"/>
      <c r="F165" s="385">
        <f>SUM(F153:F164)</f>
        <v>10970077</v>
      </c>
      <c r="G165" s="385">
        <f aca="true" t="shared" si="14" ref="G165:L165">SUM(G153:G164)</f>
        <v>2322361.4861999997</v>
      </c>
      <c r="H165" s="385">
        <f t="shared" si="14"/>
        <v>1272242</v>
      </c>
      <c r="I165" s="385">
        <f t="shared" si="14"/>
        <v>0</v>
      </c>
      <c r="J165" s="385">
        <f t="shared" si="14"/>
        <v>1583750</v>
      </c>
      <c r="K165" s="385">
        <f t="shared" si="14"/>
        <v>0</v>
      </c>
      <c r="L165" s="385">
        <f t="shared" si="14"/>
        <v>5791723.5138</v>
      </c>
      <c r="M165" s="489">
        <f>الابتكار!AM28</f>
        <v>10970077</v>
      </c>
      <c r="N165" s="489">
        <f>الابتكار!AN28</f>
        <v>2322361.4861999997</v>
      </c>
      <c r="O165" s="489">
        <f>الابتكار!AO28</f>
        <v>1272242</v>
      </c>
      <c r="P165" s="489">
        <f>الابتكار!AP28</f>
        <v>0</v>
      </c>
      <c r="Q165" s="489">
        <f>الابتكار!AQ28</f>
        <v>1583750</v>
      </c>
      <c r="R165" s="489">
        <f>الابتكار!AR28</f>
        <v>0</v>
      </c>
      <c r="S165" s="489">
        <f>الابتكار!AS28</f>
        <v>5791723.5138</v>
      </c>
    </row>
    <row r="166" spans="1:19" ht="42.75" customHeight="1">
      <c r="A166" s="389">
        <v>9</v>
      </c>
      <c r="B166" s="909" t="s">
        <v>476</v>
      </c>
      <c r="C166" s="910"/>
      <c r="D166" s="910"/>
      <c r="E166" s="910"/>
      <c r="F166" s="910"/>
      <c r="G166" s="910"/>
      <c r="H166" s="910"/>
      <c r="I166" s="910"/>
      <c r="J166" s="910"/>
      <c r="K166" s="910"/>
      <c r="L166" s="911"/>
      <c r="M166" s="488">
        <f aca="true" t="shared" si="15" ref="M166:S166">F165-M165</f>
        <v>0</v>
      </c>
      <c r="N166" s="488">
        <f t="shared" si="15"/>
        <v>0</v>
      </c>
      <c r="O166" s="488">
        <f t="shared" si="15"/>
        <v>0</v>
      </c>
      <c r="P166" s="488">
        <f t="shared" si="15"/>
        <v>0</v>
      </c>
      <c r="Q166" s="488">
        <f t="shared" si="15"/>
        <v>0</v>
      </c>
      <c r="R166" s="488">
        <f t="shared" si="15"/>
        <v>0</v>
      </c>
      <c r="S166" s="488">
        <f t="shared" si="15"/>
        <v>0</v>
      </c>
    </row>
    <row r="167" spans="1:12" ht="47.25" customHeight="1">
      <c r="A167" s="377">
        <v>9.1</v>
      </c>
      <c r="B167" s="795" t="s">
        <v>563</v>
      </c>
      <c r="C167" s="407" t="s">
        <v>138</v>
      </c>
      <c r="D167" s="407" t="str">
        <f>الابتكار!E30</f>
        <v>دراسة تحليل موقف حالة السجلات الرئيسية</v>
      </c>
      <c r="E167" s="560"/>
      <c r="F167" s="375">
        <f>الابتكار!AM30</f>
        <v>200000</v>
      </c>
      <c r="G167" s="375">
        <f>الابتكار!AN30</f>
        <v>0</v>
      </c>
      <c r="H167" s="375">
        <f>الابتكار!AO30</f>
        <v>0</v>
      </c>
      <c r="I167" s="375">
        <f>الابتكار!AP30</f>
        <v>0</v>
      </c>
      <c r="J167" s="375">
        <f>الابتكار!AQ30</f>
        <v>0</v>
      </c>
      <c r="K167" s="375">
        <f>الابتكار!AR30</f>
        <v>0</v>
      </c>
      <c r="L167" s="375">
        <f>الابتكار!AS30</f>
        <v>200000</v>
      </c>
    </row>
    <row r="168" spans="1:12" ht="25.5">
      <c r="A168" s="845">
        <v>9.2</v>
      </c>
      <c r="B168" s="846" t="s">
        <v>564</v>
      </c>
      <c r="C168" s="407" t="s">
        <v>139</v>
      </c>
      <c r="D168" s="407" t="str">
        <f>الابتكار!E31</f>
        <v>تطوير نظام متكامل لتكنولوجيا المعلومات والاتصالات (على أساس متطلبات عملية إعادة هندسة الخدمات)؛</v>
      </c>
      <c r="E168" s="560"/>
      <c r="F168" s="375">
        <f>الابتكار!AM31</f>
        <v>1350000</v>
      </c>
      <c r="G168" s="375">
        <f>الابتكار!AN31</f>
        <v>350000</v>
      </c>
      <c r="H168" s="375">
        <f>الابتكار!AO31</f>
        <v>0</v>
      </c>
      <c r="I168" s="375">
        <f>الابتكار!AP31</f>
        <v>0</v>
      </c>
      <c r="J168" s="375">
        <f>الابتكار!AQ31</f>
        <v>0</v>
      </c>
      <c r="K168" s="375">
        <f>الابتكار!AR31</f>
        <v>0</v>
      </c>
      <c r="L168" s="375">
        <f>الابتكار!AS31</f>
        <v>1000000</v>
      </c>
    </row>
    <row r="169" spans="1:12" ht="12.75">
      <c r="A169" s="845"/>
      <c r="B169" s="846"/>
      <c r="C169" s="407" t="s">
        <v>140</v>
      </c>
      <c r="D169" s="407" t="str">
        <f>الابتكار!E32</f>
        <v>تطوير النظام وتوحيده؛ وثائق تدريب المستخدمين؛ </v>
      </c>
      <c r="E169" s="560"/>
      <c r="F169" s="375">
        <f>الابتكار!AM32</f>
        <v>11821000</v>
      </c>
      <c r="G169" s="375">
        <f>الابتكار!AN32</f>
        <v>1550000</v>
      </c>
      <c r="H169" s="375">
        <f>الابتكار!AO32</f>
        <v>0</v>
      </c>
      <c r="I169" s="375">
        <f>الابتكار!AP32</f>
        <v>0</v>
      </c>
      <c r="J169" s="375">
        <f>الابتكار!AQ32</f>
        <v>0</v>
      </c>
      <c r="K169" s="375">
        <f>الابتكار!AR32</f>
        <v>0</v>
      </c>
      <c r="L169" s="375">
        <f>الابتكار!AS32</f>
        <v>10271000</v>
      </c>
    </row>
    <row r="170" spans="1:12" ht="39" customHeight="1">
      <c r="A170" s="845"/>
      <c r="B170" s="846"/>
      <c r="C170" s="407" t="s">
        <v>141</v>
      </c>
      <c r="D170" s="407" t="str">
        <f>الابتكار!E33</f>
        <v>دورات تدريبية على تكنولوجيا المعلومات والاتصالات ومستخدمي النظام (2017)</v>
      </c>
      <c r="E170" s="560"/>
      <c r="F170" s="375">
        <f>الابتكار!AM33</f>
        <v>126081</v>
      </c>
      <c r="G170" s="375">
        <f>الابتكار!AN33</f>
        <v>74175</v>
      </c>
      <c r="H170" s="375">
        <f>الابتكار!AO33</f>
        <v>0</v>
      </c>
      <c r="I170" s="375">
        <f>الابتكار!AP33</f>
        <v>0</v>
      </c>
      <c r="J170" s="375">
        <f>الابتكار!AQ33</f>
        <v>51906</v>
      </c>
      <c r="K170" s="375">
        <f>الابتكار!AR33</f>
        <v>0</v>
      </c>
      <c r="L170" s="375">
        <f>الابتكار!AS33</f>
        <v>0</v>
      </c>
    </row>
    <row r="171" spans="1:12" ht="96" customHeight="1">
      <c r="A171" s="377">
        <v>9.3</v>
      </c>
      <c r="B171" s="795" t="s">
        <v>565</v>
      </c>
      <c r="C171" s="407" t="s">
        <v>142</v>
      </c>
      <c r="D171" s="407" t="str">
        <f>الابتكار!E34</f>
        <v>تطوير نظام يرفع تقارير بشأن ردود أفعال المواطنين ويتتبع الشكاوى المتعلقة بكافة فئات الخدمات التي توفرها الحكومة.  </v>
      </c>
      <c r="E171" s="560"/>
      <c r="F171" s="375">
        <f>الابتكار!AM34</f>
        <v>211000</v>
      </c>
      <c r="G171" s="375">
        <f>الابتكار!AN34</f>
        <v>0</v>
      </c>
      <c r="H171" s="375">
        <f>الابتكار!AO34</f>
        <v>0</v>
      </c>
      <c r="I171" s="375">
        <f>الابتكار!AP34</f>
        <v>0</v>
      </c>
      <c r="J171" s="375">
        <f>الابتكار!AQ34</f>
        <v>211000</v>
      </c>
      <c r="K171" s="375">
        <f>الابتكار!AR34</f>
        <v>0</v>
      </c>
      <c r="L171" s="375">
        <f>الابتكار!AS34</f>
        <v>0</v>
      </c>
    </row>
    <row r="172" spans="1:20" s="156" customFormat="1" ht="15.75" customHeight="1">
      <c r="A172" s="390"/>
      <c r="B172" s="896" t="s">
        <v>566</v>
      </c>
      <c r="C172" s="897"/>
      <c r="D172" s="898"/>
      <c r="E172" s="567"/>
      <c r="F172" s="385">
        <f aca="true" t="shared" si="16" ref="F172:L172">SUM(F167:F171)</f>
        <v>13708081</v>
      </c>
      <c r="G172" s="385">
        <f t="shared" si="16"/>
        <v>1974175</v>
      </c>
      <c r="H172" s="385">
        <f t="shared" si="16"/>
        <v>0</v>
      </c>
      <c r="I172" s="385">
        <f t="shared" si="16"/>
        <v>0</v>
      </c>
      <c r="J172" s="385">
        <f t="shared" si="16"/>
        <v>262906</v>
      </c>
      <c r="K172" s="385">
        <f t="shared" si="16"/>
        <v>0</v>
      </c>
      <c r="L172" s="385">
        <f t="shared" si="16"/>
        <v>11471000</v>
      </c>
      <c r="M172" s="490">
        <f>الابتكار!AM35</f>
        <v>13708081</v>
      </c>
      <c r="N172" s="490">
        <f>الابتكار!AN35</f>
        <v>1974175</v>
      </c>
      <c r="O172" s="490">
        <f>الابتكار!AO35</f>
        <v>0</v>
      </c>
      <c r="P172" s="490">
        <f>الابتكار!AP35</f>
        <v>0</v>
      </c>
      <c r="Q172" s="490">
        <f>الابتكار!AQ35</f>
        <v>262906</v>
      </c>
      <c r="R172" s="490">
        <f>الابتكار!AR35</f>
        <v>0</v>
      </c>
      <c r="S172" s="490">
        <f>الابتكار!AS35</f>
        <v>11471000</v>
      </c>
      <c r="T172" s="45"/>
    </row>
    <row r="173" spans="1:19" ht="26.25" customHeight="1">
      <c r="A173" s="389">
        <v>10</v>
      </c>
      <c r="B173" s="862" t="s">
        <v>511</v>
      </c>
      <c r="C173" s="863"/>
      <c r="D173" s="863"/>
      <c r="E173" s="863"/>
      <c r="F173" s="863"/>
      <c r="G173" s="863"/>
      <c r="H173" s="863"/>
      <c r="I173" s="863"/>
      <c r="J173" s="863"/>
      <c r="K173" s="863"/>
      <c r="L173" s="864"/>
      <c r="M173" s="488">
        <f>F172-M172</f>
        <v>0</v>
      </c>
      <c r="N173" s="488">
        <f aca="true" t="shared" si="17" ref="N173:S173">G172-N172</f>
        <v>0</v>
      </c>
      <c r="O173" s="488">
        <f t="shared" si="17"/>
        <v>0</v>
      </c>
      <c r="P173" s="488">
        <f t="shared" si="17"/>
        <v>0</v>
      </c>
      <c r="Q173" s="488">
        <f t="shared" si="17"/>
        <v>0</v>
      </c>
      <c r="R173" s="488">
        <f t="shared" si="17"/>
        <v>0</v>
      </c>
      <c r="S173" s="488">
        <f t="shared" si="17"/>
        <v>0</v>
      </c>
    </row>
    <row r="174" spans="1:12" ht="60" customHeight="1">
      <c r="A174" s="847">
        <v>10.1</v>
      </c>
      <c r="B174" s="865" t="s">
        <v>1239</v>
      </c>
      <c r="C174" s="407" t="s">
        <v>171</v>
      </c>
      <c r="D174" s="407" t="str">
        <f>'الشفافية ومكافحة الفساد '!E17</f>
        <v>تنفيذ برنامج بناء قدرات الوزارات المباشرة والوحدات الحكومية المحلية على تطبيق قانون الإجراءات المدنية (IPA A.1.1)</v>
      </c>
      <c r="E174" s="560"/>
      <c r="F174" s="375">
        <f>'الشفافية ومكافحة الفساد '!AL17</f>
        <v>700000</v>
      </c>
      <c r="G174" s="375">
        <f>'الشفافية ومكافحة الفساد '!AM17</f>
        <v>0</v>
      </c>
      <c r="H174" s="375">
        <f>'الشفافية ومكافحة الفساد '!AN17</f>
        <v>700000</v>
      </c>
      <c r="I174" s="375">
        <f>'الشفافية ومكافحة الفساد '!AO17</f>
        <v>0</v>
      </c>
      <c r="J174" s="375">
        <f>'الشفافية ومكافحة الفساد '!AP17</f>
        <v>0</v>
      </c>
      <c r="K174" s="375">
        <f>'الشفافية ومكافحة الفساد '!AQ17</f>
        <v>0</v>
      </c>
      <c r="L174" s="375">
        <f>'الشفافية ومكافحة الفساد '!AR17</f>
        <v>0</v>
      </c>
    </row>
    <row r="175" spans="1:12" ht="36" customHeight="1">
      <c r="A175" s="849"/>
      <c r="B175" s="869"/>
      <c r="C175" s="407" t="s">
        <v>172</v>
      </c>
      <c r="D175" s="560" t="str">
        <f>'الشفافية ومكافحة الفساد '!E18</f>
        <v>تطوير مشروعات التطبيق التجريبي لتفويض سلطات صنع القرار.</v>
      </c>
      <c r="E175" s="560"/>
      <c r="F175" s="375">
        <f>'الشفافية ومكافحة الفساد '!AL18</f>
        <v>2000000</v>
      </c>
      <c r="G175" s="375">
        <f>'الشفافية ومكافحة الفساد '!AM18</f>
        <v>0</v>
      </c>
      <c r="H175" s="375">
        <f>'الشفافية ومكافحة الفساد '!AN18</f>
        <v>0</v>
      </c>
      <c r="I175" s="375">
        <f>'الشفافية ومكافحة الفساد '!AO18</f>
        <v>0</v>
      </c>
      <c r="J175" s="375">
        <f>'الشفافية ومكافحة الفساد '!AP18</f>
        <v>0</v>
      </c>
      <c r="K175" s="375">
        <f>'الشفافية ومكافحة الفساد '!AQ18</f>
        <v>0</v>
      </c>
      <c r="L175" s="375">
        <f>'الشفافية ومكافحة الفساد '!AR18</f>
        <v>2000000</v>
      </c>
    </row>
    <row r="176" spans="1:12" ht="43.5" customHeight="1">
      <c r="A176" s="845">
        <v>10.2</v>
      </c>
      <c r="B176" s="846" t="s">
        <v>567</v>
      </c>
      <c r="C176" s="407" t="s">
        <v>173</v>
      </c>
      <c r="D176" s="560" t="str">
        <f>'الشفافية ومكافحة الفساد '!E19</f>
        <v>توسيع عملية التفويض لتشمل الإدارة العامة بأكملها.</v>
      </c>
      <c r="E176" s="795" t="s">
        <v>660</v>
      </c>
      <c r="F176" s="375">
        <f>'الشفافية ومكافحة الفساد '!AL19</f>
        <v>0</v>
      </c>
      <c r="G176" s="375">
        <f>'الشفافية ومكافحة الفساد '!AM19</f>
        <v>0</v>
      </c>
      <c r="H176" s="375">
        <f>'الشفافية ومكافحة الفساد '!AN19</f>
        <v>0</v>
      </c>
      <c r="I176" s="375">
        <f>'الشفافية ومكافحة الفساد '!AO19</f>
        <v>0</v>
      </c>
      <c r="J176" s="375">
        <f>'الشفافية ومكافحة الفساد '!AP19</f>
        <v>0</v>
      </c>
      <c r="K176" s="375">
        <f>'الشفافية ومكافحة الفساد '!AQ19</f>
        <v>0</v>
      </c>
      <c r="L176" s="375">
        <f>'الشفافية ومكافحة الفساد '!AR19</f>
        <v>0</v>
      </c>
    </row>
    <row r="177" spans="1:12" ht="33.75" customHeight="1">
      <c r="A177" s="845"/>
      <c r="B177" s="846"/>
      <c r="C177" s="407" t="s">
        <v>174</v>
      </c>
      <c r="D177" s="797" t="str">
        <f>'الشفافية ومكافحة الفساد '!E19</f>
        <v>توسيع عملية التفويض لتشمل الإدارة العامة بأكملها.</v>
      </c>
      <c r="E177" s="797" t="str">
        <f>'الشفافية ومكافحة الفساد '!F19</f>
        <v>سيتم إصدار التقدير الحقيقي للتكلفة بعد إتمام تنفيذ مشروعات التطبيق التجريبي. التكلفة المبينة مذكورة للتوضيح فقط.</v>
      </c>
      <c r="F177" s="375">
        <f>'الشفافية ومكافحة الفساد '!AL19</f>
        <v>0</v>
      </c>
      <c r="G177" s="375">
        <f>'الشفافية ومكافحة الفساد '!AM19</f>
        <v>0</v>
      </c>
      <c r="H177" s="375">
        <f>'الشفافية ومكافحة الفساد '!AN19</f>
        <v>0</v>
      </c>
      <c r="I177" s="375">
        <f>'الشفافية ومكافحة الفساد '!AO19</f>
        <v>0</v>
      </c>
      <c r="J177" s="375">
        <f>'الشفافية ومكافحة الفساد '!AP19</f>
        <v>0</v>
      </c>
      <c r="K177" s="375">
        <f>'الشفافية ومكافحة الفساد '!AQ19</f>
        <v>0</v>
      </c>
      <c r="L177" s="375">
        <f>'الشفافية ومكافحة الفساد '!AR19</f>
        <v>0</v>
      </c>
    </row>
    <row r="178" spans="1:19" ht="15.75" customHeight="1">
      <c r="A178" s="384"/>
      <c r="B178" s="850" t="s">
        <v>568</v>
      </c>
      <c r="C178" s="851"/>
      <c r="D178" s="852"/>
      <c r="E178" s="565"/>
      <c r="F178" s="385">
        <f aca="true" t="shared" si="18" ref="F178:L178">SUM(F174:F177)</f>
        <v>2700000</v>
      </c>
      <c r="G178" s="385">
        <f t="shared" si="18"/>
        <v>0</v>
      </c>
      <c r="H178" s="385">
        <f t="shared" si="18"/>
        <v>700000</v>
      </c>
      <c r="I178" s="385">
        <f t="shared" si="18"/>
        <v>0</v>
      </c>
      <c r="J178" s="385">
        <f t="shared" si="18"/>
        <v>0</v>
      </c>
      <c r="K178" s="385">
        <f t="shared" si="18"/>
        <v>0</v>
      </c>
      <c r="L178" s="385">
        <f t="shared" si="18"/>
        <v>2000000</v>
      </c>
      <c r="M178" s="489">
        <f>'الشفافية ومكافحة الفساد '!AL20</f>
        <v>2700000</v>
      </c>
      <c r="N178" s="489">
        <f>'الشفافية ومكافحة الفساد '!AM20</f>
        <v>0</v>
      </c>
      <c r="O178" s="489">
        <f>'الشفافية ومكافحة الفساد '!AN20</f>
        <v>700000</v>
      </c>
      <c r="P178" s="489">
        <f>'الشفافية ومكافحة الفساد '!AO20</f>
        <v>0</v>
      </c>
      <c r="Q178" s="489">
        <f>'الشفافية ومكافحة الفساد '!AP20</f>
        <v>0</v>
      </c>
      <c r="R178" s="489">
        <f>'الشفافية ومكافحة الفساد '!AQ20</f>
        <v>0</v>
      </c>
      <c r="S178" s="489">
        <f>'الشفافية ومكافحة الفساد '!AR20</f>
        <v>2000000</v>
      </c>
    </row>
    <row r="179" spans="1:19" ht="28.5" customHeight="1">
      <c r="A179" s="389">
        <v>11</v>
      </c>
      <c r="B179" s="853" t="s">
        <v>569</v>
      </c>
      <c r="C179" s="854"/>
      <c r="D179" s="854"/>
      <c r="E179" s="854"/>
      <c r="F179" s="854"/>
      <c r="G179" s="854"/>
      <c r="H179" s="854"/>
      <c r="I179" s="854"/>
      <c r="J179" s="854"/>
      <c r="K179" s="854"/>
      <c r="L179" s="855"/>
      <c r="M179" s="488">
        <f>F178-M178</f>
        <v>0</v>
      </c>
      <c r="N179" s="488">
        <f aca="true" t="shared" si="19" ref="N179:S179">G178-N178</f>
        <v>0</v>
      </c>
      <c r="O179" s="488">
        <f t="shared" si="19"/>
        <v>0</v>
      </c>
      <c r="P179" s="488">
        <f t="shared" si="19"/>
        <v>0</v>
      </c>
      <c r="Q179" s="488">
        <f t="shared" si="19"/>
        <v>0</v>
      </c>
      <c r="R179" s="488">
        <f t="shared" si="19"/>
        <v>0</v>
      </c>
      <c r="S179" s="488">
        <f t="shared" si="19"/>
        <v>0</v>
      </c>
    </row>
    <row r="180" spans="1:12" ht="55.5" customHeight="1">
      <c r="A180" s="408">
        <v>11.1</v>
      </c>
      <c r="B180" s="796" t="s">
        <v>518</v>
      </c>
      <c r="C180" s="407">
        <v>11.1</v>
      </c>
      <c r="D180" s="407"/>
      <c r="E180" s="560"/>
      <c r="F180" s="375"/>
      <c r="G180" s="383"/>
      <c r="H180" s="383"/>
      <c r="I180" s="383"/>
      <c r="J180" s="383"/>
      <c r="K180" s="383"/>
      <c r="L180" s="383">
        <f>F180-G180-H180-K180</f>
        <v>0</v>
      </c>
    </row>
    <row r="181" spans="1:12" ht="53.25" customHeight="1">
      <c r="A181" s="408">
        <v>11.2</v>
      </c>
      <c r="B181" s="796" t="s">
        <v>519</v>
      </c>
      <c r="C181" s="407">
        <v>11.2</v>
      </c>
      <c r="D181" s="407"/>
      <c r="E181" s="560"/>
      <c r="F181" s="375"/>
      <c r="G181" s="383"/>
      <c r="H181" s="383"/>
      <c r="I181" s="383"/>
      <c r="J181" s="383"/>
      <c r="K181" s="383"/>
      <c r="L181" s="383">
        <f>F181-G181-H181-K181</f>
        <v>0</v>
      </c>
    </row>
    <row r="182" spans="1:12" ht="68.25" customHeight="1">
      <c r="A182" s="559">
        <v>11.3</v>
      </c>
      <c r="B182" s="818" t="s">
        <v>1240</v>
      </c>
      <c r="C182" s="407" t="s">
        <v>200</v>
      </c>
      <c r="D182" s="818" t="s">
        <v>1241</v>
      </c>
      <c r="E182" s="560"/>
      <c r="F182" s="375">
        <f>'الشفافية ومكافحة الفساد '!AL24</f>
        <v>600000</v>
      </c>
      <c r="G182" s="375">
        <f>'الشفافية ومكافحة الفساد '!AM24</f>
        <v>0</v>
      </c>
      <c r="H182" s="375">
        <f>'الشفافية ومكافحة الفساد '!AN24</f>
        <v>600000</v>
      </c>
      <c r="I182" s="375">
        <f>'الشفافية ومكافحة الفساد '!AO24</f>
        <v>0</v>
      </c>
      <c r="J182" s="375">
        <f>'الشفافية ومكافحة الفساد '!AP24</f>
        <v>0</v>
      </c>
      <c r="K182" s="375">
        <f>'الشفافية ومكافحة الفساد '!AQ24</f>
        <v>0</v>
      </c>
      <c r="L182" s="375">
        <f>'الشفافية ومكافحة الفساد '!AR24</f>
        <v>0</v>
      </c>
    </row>
    <row r="183" spans="1:19" ht="15.75" customHeight="1">
      <c r="A183" s="384"/>
      <c r="B183" s="906" t="s">
        <v>572</v>
      </c>
      <c r="C183" s="907"/>
      <c r="D183" s="908"/>
      <c r="E183" s="569"/>
      <c r="F183" s="385">
        <f aca="true" t="shared" si="20" ref="F183:L183">SUM(F180:F182)</f>
        <v>600000</v>
      </c>
      <c r="G183" s="385">
        <f t="shared" si="20"/>
        <v>0</v>
      </c>
      <c r="H183" s="385">
        <f t="shared" si="20"/>
        <v>600000</v>
      </c>
      <c r="I183" s="385">
        <f t="shared" si="20"/>
        <v>0</v>
      </c>
      <c r="J183" s="385">
        <f t="shared" si="20"/>
        <v>0</v>
      </c>
      <c r="K183" s="385">
        <f t="shared" si="20"/>
        <v>0</v>
      </c>
      <c r="L183" s="385">
        <f t="shared" si="20"/>
        <v>0</v>
      </c>
      <c r="M183" s="489">
        <f>'الشفافية ومكافحة الفساد '!AL25</f>
        <v>600000</v>
      </c>
      <c r="N183" s="489">
        <f>'الشفافية ومكافحة الفساد '!AM25</f>
        <v>0</v>
      </c>
      <c r="O183" s="489">
        <f>'الشفافية ومكافحة الفساد '!AN25</f>
        <v>600000</v>
      </c>
      <c r="P183" s="489">
        <f>'الشفافية ومكافحة الفساد '!AO25</f>
        <v>0</v>
      </c>
      <c r="Q183" s="489">
        <f>'الشفافية ومكافحة الفساد '!AP25</f>
        <v>0</v>
      </c>
      <c r="R183" s="489">
        <f>'الشفافية ومكافحة الفساد '!AQ25</f>
        <v>0</v>
      </c>
      <c r="S183" s="489">
        <f>'الشفافية ومكافحة الفساد '!AR25</f>
        <v>0</v>
      </c>
    </row>
    <row r="184" spans="1:19" s="157" customFormat="1" ht="15.75" customHeight="1">
      <c r="A184" s="391"/>
      <c r="B184" s="903" t="s">
        <v>2</v>
      </c>
      <c r="C184" s="904"/>
      <c r="D184" s="905"/>
      <c r="E184" s="568"/>
      <c r="F184" s="392">
        <f aca="true" t="shared" si="21" ref="F184:L184">F41+F63+F84+F96+F103+F145+F151+F165+F172+F178+F183</f>
        <v>79644514.4</v>
      </c>
      <c r="G184" s="392">
        <f t="shared" si="21"/>
        <v>18818158.4012</v>
      </c>
      <c r="H184" s="392">
        <f t="shared" si="21"/>
        <v>5394266.25</v>
      </c>
      <c r="I184" s="392">
        <f t="shared" si="21"/>
        <v>315000</v>
      </c>
      <c r="J184" s="392">
        <f t="shared" si="21"/>
        <v>18053278</v>
      </c>
      <c r="K184" s="392">
        <f t="shared" si="21"/>
        <v>916078</v>
      </c>
      <c r="L184" s="392">
        <f t="shared" si="21"/>
        <v>36147733.748799995</v>
      </c>
      <c r="M184" s="495">
        <f aca="true" t="shared" si="22" ref="M184:S184">F183-M183</f>
        <v>0</v>
      </c>
      <c r="N184" s="495">
        <f t="shared" si="22"/>
        <v>0</v>
      </c>
      <c r="O184" s="495">
        <f t="shared" si="22"/>
        <v>0</v>
      </c>
      <c r="P184" s="495">
        <f t="shared" si="22"/>
        <v>0</v>
      </c>
      <c r="Q184" s="495">
        <f t="shared" si="22"/>
        <v>0</v>
      </c>
      <c r="R184" s="495">
        <f t="shared" si="22"/>
        <v>0</v>
      </c>
      <c r="S184" s="495">
        <f t="shared" si="22"/>
        <v>0</v>
      </c>
    </row>
    <row r="185" spans="1:12" ht="15.75" customHeight="1">
      <c r="A185" s="394"/>
      <c r="B185" s="395"/>
      <c r="C185" s="396"/>
      <c r="D185" s="422"/>
      <c r="E185" s="422"/>
      <c r="F185" s="397"/>
      <c r="G185" s="398"/>
      <c r="H185" s="398"/>
      <c r="I185" s="398"/>
      <c r="J185" s="398"/>
      <c r="K185" s="398"/>
      <c r="L185" s="399"/>
    </row>
    <row r="186" spans="1:12" ht="15.75" customHeight="1">
      <c r="A186" s="394"/>
      <c r="B186" s="395"/>
      <c r="C186" s="396"/>
      <c r="D186" s="422"/>
      <c r="E186" s="422"/>
      <c r="F186" s="397"/>
      <c r="G186" s="372"/>
      <c r="H186" s="372"/>
      <c r="I186" s="372"/>
      <c r="J186" s="372"/>
      <c r="K186" s="372"/>
      <c r="L186" s="373"/>
    </row>
    <row r="187" spans="1:12" ht="15.75" customHeight="1">
      <c r="A187" s="394"/>
      <c r="B187" s="395"/>
      <c r="C187" s="396"/>
      <c r="D187" s="423" t="s">
        <v>611</v>
      </c>
      <c r="E187" s="400">
        <f>'الخدمة المدنية وإدارة الموارد ا'!AL44</f>
        <v>5819425</v>
      </c>
      <c r="F187" s="400">
        <f>'الخدمة المدنية وإدارة الموارد ا'!AM44</f>
        <v>405000</v>
      </c>
      <c r="G187" s="400">
        <f>'الخدمة المدنية وإدارة الموارد ا'!AN44</f>
        <v>1200000</v>
      </c>
      <c r="H187" s="400">
        <f>'الخدمة المدنية وإدارة الموارد ا'!AO44</f>
        <v>50000</v>
      </c>
      <c r="I187" s="400">
        <f>'الخدمة المدنية وإدارة الموارد ا'!AP44</f>
        <v>348000</v>
      </c>
      <c r="J187" s="400">
        <f>'الخدمة المدنية وإدارة الموارد ا'!AQ44</f>
        <v>0</v>
      </c>
      <c r="K187" s="400">
        <f>'الخدمة المدنية وإدارة الموارد ا'!AR44</f>
        <v>3816425</v>
      </c>
      <c r="L187" s="45"/>
    </row>
    <row r="188" spans="1:12" ht="15.75" customHeight="1">
      <c r="A188" s="394"/>
      <c r="B188" s="395"/>
      <c r="C188" s="396"/>
      <c r="D188" s="423" t="s">
        <v>209</v>
      </c>
      <c r="E188" s="400">
        <f>ASPA!AU45</f>
        <v>989131</v>
      </c>
      <c r="F188" s="400">
        <f>ASPA!AV45</f>
        <v>317106.515</v>
      </c>
      <c r="G188" s="400">
        <f>ASPA!AW45</f>
        <v>672024.25</v>
      </c>
      <c r="H188" s="400">
        <f>ASPA!AX45</f>
        <v>0</v>
      </c>
      <c r="I188" s="400">
        <f>ASPA!AY45</f>
        <v>0</v>
      </c>
      <c r="J188" s="400">
        <f>ASPA!AZ45</f>
        <v>0</v>
      </c>
      <c r="K188" s="400">
        <f>ASPA!BA45</f>
        <v>0.2349999999796637</v>
      </c>
      <c r="L188" s="45"/>
    </row>
    <row r="189" spans="1:12" ht="15.75" customHeight="1">
      <c r="A189" s="394"/>
      <c r="B189" s="395"/>
      <c r="C189" s="396"/>
      <c r="D189" s="423" t="s">
        <v>1228</v>
      </c>
      <c r="E189" s="400">
        <f>'السياسة والمتابعة والتشريع'!AN88</f>
        <v>10852580.4</v>
      </c>
      <c r="F189" s="400">
        <f>'السياسة والمتابعة والتشريع'!AO88</f>
        <v>96145.40000000001</v>
      </c>
      <c r="G189" s="400">
        <f>'السياسة والمتابعة والتشريع'!AP88</f>
        <v>450000</v>
      </c>
      <c r="H189" s="400">
        <f>'السياسة والمتابعة والتشريع'!AQ88</f>
        <v>0</v>
      </c>
      <c r="I189" s="400">
        <f>'السياسة والمتابعة والتشريع'!AR88</f>
        <v>372900</v>
      </c>
      <c r="J189" s="400">
        <f>'السياسة والمتابعة والتشريع'!AS88</f>
        <v>0</v>
      </c>
      <c r="K189" s="400">
        <f>'السياسة والمتابعة والتشريع'!AT88</f>
        <v>9933535</v>
      </c>
      <c r="L189" s="45"/>
    </row>
    <row r="190" spans="1:12" ht="15.75" customHeight="1">
      <c r="A190" s="394"/>
      <c r="B190" s="395"/>
      <c r="C190" s="396"/>
      <c r="D190" s="423" t="s">
        <v>210</v>
      </c>
      <c r="E190" s="400">
        <f>الابتكار!AM36</f>
        <v>50483328</v>
      </c>
      <c r="F190" s="400">
        <f>الابتكار!AN36</f>
        <v>13699906.4862</v>
      </c>
      <c r="G190" s="400">
        <f>الابتكار!AO36</f>
        <v>1272242</v>
      </c>
      <c r="H190" s="400">
        <f>الابتكار!AP36</f>
        <v>0</v>
      </c>
      <c r="I190" s="400">
        <f>الابتكار!AQ36</f>
        <v>17332378</v>
      </c>
      <c r="J190" s="400">
        <f>الابتكار!AR36</f>
        <v>916078</v>
      </c>
      <c r="K190" s="400">
        <f>الابتكار!AS36</f>
        <v>17262723.5138</v>
      </c>
      <c r="L190" s="45"/>
    </row>
    <row r="191" spans="1:12" ht="15.75" customHeight="1">
      <c r="A191" s="394"/>
      <c r="B191" s="395"/>
      <c r="C191" s="396"/>
      <c r="D191" s="423" t="s">
        <v>612</v>
      </c>
      <c r="E191" s="400">
        <f>'اللامركزية '!AL16</f>
        <v>8127900</v>
      </c>
      <c r="F191" s="400">
        <f>'اللامركزية '!AM16</f>
        <v>4300000</v>
      </c>
      <c r="G191" s="400">
        <f>'اللامركزية '!AN16</f>
        <v>500000</v>
      </c>
      <c r="H191" s="400">
        <f>'اللامركزية '!AO16</f>
        <v>265000</v>
      </c>
      <c r="I191" s="400">
        <f>'اللامركزية '!AP16</f>
        <v>0</v>
      </c>
      <c r="J191" s="400">
        <f>'اللامركزية '!AQ16</f>
        <v>0</v>
      </c>
      <c r="K191" s="400">
        <f>'اللامركزية '!AR16</f>
        <v>3062900</v>
      </c>
      <c r="L191" s="45"/>
    </row>
    <row r="192" spans="1:12" ht="15.75" customHeight="1">
      <c r="A192" s="394"/>
      <c r="B192" s="395"/>
      <c r="C192" s="396"/>
      <c r="D192" s="423" t="s">
        <v>613</v>
      </c>
      <c r="E192" s="400">
        <f>'الشفافية ومكافحة الفساد '!AL26</f>
        <v>3372150</v>
      </c>
      <c r="F192" s="400">
        <f>'الشفافية ومكافحة الفساد '!AM26</f>
        <v>0</v>
      </c>
      <c r="G192" s="400">
        <f>'الشفافية ومكافحة الفساد '!AN26</f>
        <v>1300000</v>
      </c>
      <c r="H192" s="400">
        <f>'الشفافية ومكافحة الفساد '!AO26</f>
        <v>0</v>
      </c>
      <c r="I192" s="400">
        <f>'الشفافية ومكافحة الفساد '!AP26</f>
        <v>0</v>
      </c>
      <c r="J192" s="400">
        <f>'الشفافية ومكافحة الفساد '!AQ26</f>
        <v>0</v>
      </c>
      <c r="K192" s="400">
        <f>'الشفافية ومكافحة الفساد '!AR26</f>
        <v>2072150</v>
      </c>
      <c r="L192" s="45"/>
    </row>
    <row r="193" spans="1:12" ht="15.75" customHeight="1">
      <c r="A193" s="394"/>
      <c r="B193" s="395"/>
      <c r="C193" s="396"/>
      <c r="D193" s="423" t="s">
        <v>661</v>
      </c>
      <c r="E193" s="393">
        <f aca="true" t="shared" si="23" ref="E193:K193">SUM(E187:E192)</f>
        <v>79644514.4</v>
      </c>
      <c r="F193" s="393">
        <f t="shared" si="23"/>
        <v>18818158.4012</v>
      </c>
      <c r="G193" s="393">
        <f t="shared" si="23"/>
        <v>5394266.25</v>
      </c>
      <c r="H193" s="393">
        <f t="shared" si="23"/>
        <v>315000</v>
      </c>
      <c r="I193" s="393">
        <f t="shared" si="23"/>
        <v>18053278</v>
      </c>
      <c r="J193" s="393">
        <f t="shared" si="23"/>
        <v>916078</v>
      </c>
      <c r="K193" s="393">
        <f t="shared" si="23"/>
        <v>36147733.748799995</v>
      </c>
      <c r="L193" s="45"/>
    </row>
    <row r="194" spans="1:12" ht="15.75" customHeight="1">
      <c r="A194" s="394"/>
      <c r="B194" s="395"/>
      <c r="C194" s="396"/>
      <c r="D194" s="422" t="s">
        <v>573</v>
      </c>
      <c r="E194" s="401">
        <f aca="true" t="shared" si="24" ref="E194:K194">F184-E193</f>
        <v>0</v>
      </c>
      <c r="F194" s="401">
        <f t="shared" si="24"/>
        <v>0</v>
      </c>
      <c r="G194" s="401">
        <f t="shared" si="24"/>
        <v>0</v>
      </c>
      <c r="H194" s="401">
        <f t="shared" si="24"/>
        <v>0</v>
      </c>
      <c r="I194" s="401">
        <f t="shared" si="24"/>
        <v>0</v>
      </c>
      <c r="J194" s="401">
        <f t="shared" si="24"/>
        <v>0</v>
      </c>
      <c r="K194" s="401">
        <f t="shared" si="24"/>
        <v>0</v>
      </c>
      <c r="L194" s="45"/>
    </row>
    <row r="195" spans="1:12" ht="15.75" customHeight="1">
      <c r="A195" s="394"/>
      <c r="B195" s="395"/>
      <c r="C195" s="396"/>
      <c r="D195" s="422"/>
      <c r="E195" s="422"/>
      <c r="F195" s="397"/>
      <c r="G195" s="372"/>
      <c r="H195" s="372"/>
      <c r="I195" s="372"/>
      <c r="J195" s="372"/>
      <c r="K195" s="372"/>
      <c r="L195" s="373"/>
    </row>
    <row r="196" spans="1:12" ht="15.75" customHeight="1">
      <c r="A196" s="394"/>
      <c r="B196" s="395"/>
      <c r="C196" s="396"/>
      <c r="D196" s="422"/>
      <c r="E196" s="422"/>
      <c r="F196" s="397"/>
      <c r="G196" s="372"/>
      <c r="H196" s="372"/>
      <c r="I196" s="372"/>
      <c r="J196" s="372"/>
      <c r="K196" s="372"/>
      <c r="L196" s="373"/>
    </row>
    <row r="197" spans="1:12" ht="15.75" customHeight="1">
      <c r="A197" s="394"/>
      <c r="B197" s="395"/>
      <c r="C197" s="396"/>
      <c r="D197" s="422"/>
      <c r="E197" s="422"/>
      <c r="F197" s="400" t="s">
        <v>662</v>
      </c>
      <c r="G197" s="402">
        <f>F184</f>
        <v>79644514.4</v>
      </c>
      <c r="H197" s="402"/>
      <c r="I197" s="372"/>
      <c r="J197" s="372"/>
      <c r="K197" s="372"/>
      <c r="L197" s="373"/>
    </row>
    <row r="198" spans="1:12" ht="15.75" customHeight="1">
      <c r="A198" s="394"/>
      <c r="B198" s="395"/>
      <c r="C198" s="396"/>
      <c r="D198" s="422"/>
      <c r="E198" s="422"/>
      <c r="F198" s="400" t="s">
        <v>614</v>
      </c>
      <c r="G198" s="402">
        <f>G184</f>
        <v>18818158.4012</v>
      </c>
      <c r="H198" s="403">
        <f>G198/$G$197</f>
        <v>0.23627689292810855</v>
      </c>
      <c r="I198" s="372"/>
      <c r="J198" s="372"/>
      <c r="K198" s="372"/>
      <c r="L198" s="373"/>
    </row>
    <row r="199" spans="1:12" ht="15.75" customHeight="1">
      <c r="A199" s="394"/>
      <c r="B199" s="395"/>
      <c r="C199" s="396"/>
      <c r="D199" s="422"/>
      <c r="E199" s="422"/>
      <c r="F199" s="400" t="s">
        <v>222</v>
      </c>
      <c r="G199" s="402">
        <f>H184+I184+J184+K184+الابتكار!AU38</f>
        <v>36377423.3638</v>
      </c>
      <c r="H199" s="403">
        <f>G199/$G$197</f>
        <v>0.45674738100732265</v>
      </c>
      <c r="I199" s="372"/>
      <c r="J199" s="372"/>
      <c r="K199" s="372"/>
      <c r="L199" s="373"/>
    </row>
    <row r="200" spans="1:12" ht="15.75" customHeight="1">
      <c r="A200" s="394"/>
      <c r="B200" s="395"/>
      <c r="C200" s="396"/>
      <c r="D200" s="422"/>
      <c r="E200" s="422"/>
      <c r="F200" s="400" t="s">
        <v>663</v>
      </c>
      <c r="G200" s="402">
        <f>L184-الابتكار!AU38</f>
        <v>24448932.634999998</v>
      </c>
      <c r="H200" s="403">
        <f>G200/$G$197</f>
        <v>0.3069757260645687</v>
      </c>
      <c r="I200" s="372"/>
      <c r="J200" s="372"/>
      <c r="K200" s="372"/>
      <c r="L200" s="373"/>
    </row>
    <row r="201" spans="1:12" ht="15.75" customHeight="1">
      <c r="A201" s="394"/>
      <c r="B201" s="395"/>
      <c r="C201" s="396"/>
      <c r="D201" s="422"/>
      <c r="F201" s="400"/>
      <c r="G201" s="402"/>
      <c r="H201" s="403"/>
      <c r="I201" s="372"/>
      <c r="J201" s="372"/>
      <c r="K201" s="372"/>
      <c r="L201" s="373"/>
    </row>
  </sheetData>
  <sheetProtection/>
  <mergeCells count="113">
    <mergeCell ref="A160:A162"/>
    <mergeCell ref="A157:A158"/>
    <mergeCell ref="B157:B158"/>
    <mergeCell ref="A176:A177"/>
    <mergeCell ref="B176:B177"/>
    <mergeCell ref="A174:A175"/>
    <mergeCell ref="B174:B175"/>
    <mergeCell ref="B116:B117"/>
    <mergeCell ref="A120:A121"/>
    <mergeCell ref="B120:B121"/>
    <mergeCell ref="B146:L146"/>
    <mergeCell ref="B163:B164"/>
    <mergeCell ref="B165:D165"/>
    <mergeCell ref="A147:A148"/>
    <mergeCell ref="B147:B148"/>
    <mergeCell ref="B152:L152"/>
    <mergeCell ref="B151:D151"/>
    <mergeCell ref="B184:D184"/>
    <mergeCell ref="B183:D183"/>
    <mergeCell ref="B179:L179"/>
    <mergeCell ref="B173:L173"/>
    <mergeCell ref="B166:L166"/>
    <mergeCell ref="B178:D178"/>
    <mergeCell ref="B168:B170"/>
    <mergeCell ref="A118:A119"/>
    <mergeCell ref="B118:B119"/>
    <mergeCell ref="B172:D172"/>
    <mergeCell ref="A168:A170"/>
    <mergeCell ref="B160:B162"/>
    <mergeCell ref="A163:A164"/>
    <mergeCell ref="A136:A144"/>
    <mergeCell ref="A127:A135"/>
    <mergeCell ref="A153:A154"/>
    <mergeCell ref="B153:B154"/>
    <mergeCell ref="B106:B108"/>
    <mergeCell ref="B122:B126"/>
    <mergeCell ref="B145:D145"/>
    <mergeCell ref="B112:B115"/>
    <mergeCell ref="A110:A111"/>
    <mergeCell ref="B110:B111"/>
    <mergeCell ref="A112:A115"/>
    <mergeCell ref="A122:A125"/>
    <mergeCell ref="B127:B135"/>
    <mergeCell ref="B136:B144"/>
    <mergeCell ref="B35:B36"/>
    <mergeCell ref="A32:A33"/>
    <mergeCell ref="B32:B33"/>
    <mergeCell ref="L6:L7"/>
    <mergeCell ref="A3:A7"/>
    <mergeCell ref="B3:B7"/>
    <mergeCell ref="C3:D7"/>
    <mergeCell ref="E3:E7"/>
    <mergeCell ref="E32:E33"/>
    <mergeCell ref="G3:L5"/>
    <mergeCell ref="B2:F2"/>
    <mergeCell ref="F3:F7"/>
    <mergeCell ref="A24:A26"/>
    <mergeCell ref="B24:B26"/>
    <mergeCell ref="A10:A19"/>
    <mergeCell ref="D22:D23"/>
    <mergeCell ref="C22:C23"/>
    <mergeCell ref="B45:B48"/>
    <mergeCell ref="B41:D41"/>
    <mergeCell ref="B37:B40"/>
    <mergeCell ref="A37:A40"/>
    <mergeCell ref="A45:A48"/>
    <mergeCell ref="A43:A44"/>
    <mergeCell ref="B43:B44"/>
    <mergeCell ref="B42:L42"/>
    <mergeCell ref="A27:A29"/>
    <mergeCell ref="B27:B29"/>
    <mergeCell ref="A30:A31"/>
    <mergeCell ref="B30:B31"/>
    <mergeCell ref="B10:B19"/>
    <mergeCell ref="B9:L9"/>
    <mergeCell ref="G6:G7"/>
    <mergeCell ref="A35:A36"/>
    <mergeCell ref="B65:B70"/>
    <mergeCell ref="A71:A74"/>
    <mergeCell ref="B71:B74"/>
    <mergeCell ref="A55:A57"/>
    <mergeCell ref="B55:B57"/>
    <mergeCell ref="A58:A60"/>
    <mergeCell ref="B58:B60"/>
    <mergeCell ref="B64:L64"/>
    <mergeCell ref="A116:A117"/>
    <mergeCell ref="A98:A100"/>
    <mergeCell ref="B103:D103"/>
    <mergeCell ref="B49:B50"/>
    <mergeCell ref="A49:A50"/>
    <mergeCell ref="B92:B95"/>
    <mergeCell ref="B84:D84"/>
    <mergeCell ref="B85:D85"/>
    <mergeCell ref="B98:B100"/>
    <mergeCell ref="A106:A108"/>
    <mergeCell ref="B104:L104"/>
    <mergeCell ref="A86:A89"/>
    <mergeCell ref="B86:B89"/>
    <mergeCell ref="A90:A91"/>
    <mergeCell ref="B90:B91"/>
    <mergeCell ref="A92:A95"/>
    <mergeCell ref="B97:L97"/>
    <mergeCell ref="B96:D96"/>
    <mergeCell ref="A75:A78"/>
    <mergeCell ref="B75:B78"/>
    <mergeCell ref="A80:A83"/>
    <mergeCell ref="B80:B83"/>
    <mergeCell ref="A51:A54"/>
    <mergeCell ref="B51:B54"/>
    <mergeCell ref="B63:D63"/>
    <mergeCell ref="A65:A70"/>
    <mergeCell ref="A61:A62"/>
    <mergeCell ref="B61:B62"/>
  </mergeCells>
  <printOptions horizontalCentered="1" verticalCentered="1"/>
  <pageMargins left="0.7" right="0.7" top="0.75" bottom="0.75" header="0.3" footer="0.3"/>
  <pageSetup fitToHeight="0" fitToWidth="1" orientation="landscape" paperSize="9" scale="65" r:id="rId1"/>
</worksheet>
</file>

<file path=xl/worksheets/sheet4.xml><?xml version="1.0" encoding="utf-8"?>
<worksheet xmlns="http://schemas.openxmlformats.org/spreadsheetml/2006/main" xmlns:r="http://schemas.openxmlformats.org/officeDocument/2006/relationships">
  <dimension ref="A1:AT46"/>
  <sheetViews>
    <sheetView zoomScale="160" zoomScaleNormal="160" zoomScalePageLayoutView="0" workbookViewId="0" topLeftCell="A1">
      <selection activeCell="G3" sqref="G3:J3"/>
    </sheetView>
  </sheetViews>
  <sheetFormatPr defaultColWidth="9.28125" defaultRowHeight="15"/>
  <cols>
    <col min="1" max="1" width="6.28125" style="316" customWidth="1"/>
    <col min="2" max="2" width="4.57421875" style="316" customWidth="1"/>
    <col min="3" max="3" width="21.28125" style="317" customWidth="1"/>
    <col min="4" max="4" width="5.28125" style="318" customWidth="1"/>
    <col min="5" max="5" width="20.7109375" style="613" customWidth="1"/>
    <col min="6" max="6" width="14.7109375" style="319" customWidth="1"/>
    <col min="7" max="7" width="5.7109375" style="320" customWidth="1"/>
    <col min="8" max="8" width="7.7109375" style="321" customWidth="1"/>
    <col min="9" max="9" width="7.28125" style="321" customWidth="1"/>
    <col min="10" max="10" width="9.7109375" style="320" customWidth="1"/>
    <col min="11" max="11" width="10.00390625" style="322" customWidth="1"/>
    <col min="12" max="12" width="9.57421875" style="322" customWidth="1"/>
    <col min="13" max="13" width="10.7109375" style="322" customWidth="1"/>
    <col min="14" max="14" width="11.7109375" style="322" customWidth="1"/>
    <col min="15" max="15" width="12.28125" style="322" customWidth="1"/>
    <col min="16" max="16" width="12.7109375" style="322" customWidth="1"/>
    <col min="17" max="18" width="11.57421875" style="322" customWidth="1"/>
    <col min="19" max="19" width="10.7109375" style="323" customWidth="1"/>
    <col min="20" max="20" width="9.28125" style="324" customWidth="1"/>
    <col min="21" max="21" width="7.421875" style="324" customWidth="1"/>
    <col min="22" max="22" width="9.7109375" style="323" customWidth="1"/>
    <col min="23" max="23" width="8.28125" style="325" customWidth="1"/>
    <col min="24" max="24" width="6.7109375" style="325" customWidth="1"/>
    <col min="25" max="25" width="10.28125" style="325" customWidth="1"/>
    <col min="26" max="26" width="11.28125" style="326" customWidth="1"/>
    <col min="27" max="27" width="10.28125" style="326" customWidth="1"/>
    <col min="28" max="28" width="8.28125" style="326" customWidth="1"/>
    <col min="29" max="29" width="15.28125" style="326" customWidth="1"/>
    <col min="30" max="30" width="12.57421875" style="326" customWidth="1"/>
    <col min="31" max="31" width="7.28125" style="326" customWidth="1"/>
    <col min="32" max="32" width="13.28125" style="326" customWidth="1"/>
    <col min="33" max="33" width="9.28125" style="326" customWidth="1"/>
    <col min="34" max="34" width="6.7109375" style="326" customWidth="1"/>
    <col min="35" max="35" width="11.00390625" style="326" customWidth="1"/>
    <col min="36" max="36" width="10.7109375" style="326" customWidth="1"/>
    <col min="37" max="37" width="13.57421875" style="327" customWidth="1"/>
    <col min="38" max="38" width="10.57421875" style="325" customWidth="1"/>
    <col min="39" max="39" width="12.421875" style="417" customWidth="1"/>
    <col min="40" max="41" width="10.28125" style="326" customWidth="1"/>
    <col min="42" max="43" width="9.00390625" style="326" customWidth="1"/>
    <col min="44" max="44" width="12.28125" style="328" customWidth="1"/>
    <col min="45" max="45" width="9.7109375" style="302" bestFit="1" customWidth="1"/>
    <col min="46" max="46" width="11.7109375" style="303" customWidth="1"/>
    <col min="47" max="16384" width="9.28125" style="303" customWidth="1"/>
  </cols>
  <sheetData>
    <row r="1" spans="1:45" s="235" customFormat="1" ht="12.75">
      <c r="A1" s="222"/>
      <c r="B1" s="222"/>
      <c r="C1" s="223"/>
      <c r="D1" s="224"/>
      <c r="E1" s="607"/>
      <c r="F1" s="225"/>
      <c r="G1" s="226"/>
      <c r="H1" s="227"/>
      <c r="I1" s="227"/>
      <c r="J1" s="226"/>
      <c r="K1" s="228"/>
      <c r="L1" s="228"/>
      <c r="M1" s="228"/>
      <c r="N1" s="228"/>
      <c r="O1" s="228"/>
      <c r="P1" s="228"/>
      <c r="Q1" s="228"/>
      <c r="R1" s="228"/>
      <c r="S1" s="229"/>
      <c r="T1" s="230"/>
      <c r="U1" s="230"/>
      <c r="V1" s="229"/>
      <c r="W1" s="231"/>
      <c r="X1" s="231"/>
      <c r="Y1" s="231"/>
      <c r="Z1" s="232"/>
      <c r="AA1" s="232"/>
      <c r="AB1" s="232"/>
      <c r="AC1" s="232"/>
      <c r="AD1" s="232"/>
      <c r="AE1" s="232"/>
      <c r="AF1" s="232"/>
      <c r="AG1" s="232"/>
      <c r="AH1" s="232"/>
      <c r="AI1" s="232"/>
      <c r="AJ1" s="232"/>
      <c r="AK1" s="233"/>
      <c r="AL1" s="231"/>
      <c r="AM1" s="414"/>
      <c r="AN1" s="232"/>
      <c r="AO1" s="232"/>
      <c r="AP1" s="232"/>
      <c r="AQ1" s="232"/>
      <c r="AR1" s="234"/>
      <c r="AS1" s="236"/>
    </row>
    <row r="2" spans="1:45" s="235" customFormat="1" ht="13.5" customHeight="1" thickBot="1">
      <c r="A2" s="237"/>
      <c r="B2" s="941"/>
      <c r="C2" s="941"/>
      <c r="D2" s="941"/>
      <c r="E2" s="941"/>
      <c r="F2" s="941"/>
      <c r="G2" s="941"/>
      <c r="H2" s="941"/>
      <c r="I2" s="941"/>
      <c r="J2" s="941"/>
      <c r="K2" s="941"/>
      <c r="L2" s="941"/>
      <c r="M2" s="941"/>
      <c r="N2" s="941"/>
      <c r="O2" s="941"/>
      <c r="P2" s="941"/>
      <c r="Q2" s="238"/>
      <c r="R2" s="238"/>
      <c r="S2" s="237"/>
      <c r="T2" s="238"/>
      <c r="U2" s="238"/>
      <c r="V2" s="237"/>
      <c r="W2" s="237"/>
      <c r="X2" s="237"/>
      <c r="Y2" s="237"/>
      <c r="Z2" s="238"/>
      <c r="AA2" s="238"/>
      <c r="AB2" s="238"/>
      <c r="AC2" s="238"/>
      <c r="AD2" s="238"/>
      <c r="AE2" s="238"/>
      <c r="AF2" s="238"/>
      <c r="AG2" s="238"/>
      <c r="AH2" s="238"/>
      <c r="AI2" s="238"/>
      <c r="AJ2" s="238"/>
      <c r="AK2" s="237"/>
      <c r="AL2" s="231"/>
      <c r="AM2" s="414"/>
      <c r="AN2" s="232"/>
      <c r="AO2" s="232"/>
      <c r="AP2" s="232"/>
      <c r="AQ2" s="232"/>
      <c r="AR2" s="234"/>
      <c r="AS2" s="236"/>
    </row>
    <row r="3" spans="1:45" s="239" customFormat="1" ht="24" customHeight="1">
      <c r="A3" s="942"/>
      <c r="B3" s="943"/>
      <c r="C3" s="943"/>
      <c r="D3" s="943"/>
      <c r="E3" s="944"/>
      <c r="F3" s="588"/>
      <c r="G3" s="945" t="s">
        <v>1244</v>
      </c>
      <c r="H3" s="946"/>
      <c r="I3" s="946"/>
      <c r="J3" s="947"/>
      <c r="K3" s="948"/>
      <c r="L3" s="946"/>
      <c r="M3" s="946"/>
      <c r="N3" s="946"/>
      <c r="O3" s="946"/>
      <c r="P3" s="946"/>
      <c r="Q3" s="946"/>
      <c r="R3" s="946"/>
      <c r="S3" s="946"/>
      <c r="T3" s="946"/>
      <c r="U3" s="946"/>
      <c r="V3" s="946"/>
      <c r="W3" s="946"/>
      <c r="X3" s="946"/>
      <c r="Y3" s="946"/>
      <c r="Z3" s="946"/>
      <c r="AA3" s="946"/>
      <c r="AB3" s="947"/>
      <c r="AC3" s="966" t="s">
        <v>250</v>
      </c>
      <c r="AD3" s="967"/>
      <c r="AE3" s="967"/>
      <c r="AF3" s="967"/>
      <c r="AG3" s="967"/>
      <c r="AH3" s="967"/>
      <c r="AI3" s="967"/>
      <c r="AJ3" s="968"/>
      <c r="AK3" s="938" t="s">
        <v>257</v>
      </c>
      <c r="AL3" s="938" t="s">
        <v>256</v>
      </c>
      <c r="AM3" s="930" t="s">
        <v>258</v>
      </c>
      <c r="AN3" s="930"/>
      <c r="AO3" s="930"/>
      <c r="AP3" s="930"/>
      <c r="AQ3" s="931"/>
      <c r="AR3" s="932"/>
      <c r="AS3" s="240"/>
    </row>
    <row r="4" spans="1:45" s="242" customFormat="1" ht="18" customHeight="1">
      <c r="A4" s="949" t="s">
        <v>12</v>
      </c>
      <c r="B4" s="952" t="s">
        <v>227</v>
      </c>
      <c r="C4" s="953"/>
      <c r="D4" s="952" t="s">
        <v>228</v>
      </c>
      <c r="E4" s="953"/>
      <c r="F4" s="589"/>
      <c r="G4" s="958" t="s">
        <v>230</v>
      </c>
      <c r="H4" s="959"/>
      <c r="I4" s="959"/>
      <c r="J4" s="960"/>
      <c r="K4" s="958" t="s">
        <v>664</v>
      </c>
      <c r="L4" s="959"/>
      <c r="M4" s="959"/>
      <c r="N4" s="959"/>
      <c r="O4" s="959"/>
      <c r="P4" s="959"/>
      <c r="Q4" s="959"/>
      <c r="R4" s="959"/>
      <c r="S4" s="960"/>
      <c r="T4" s="927" t="s">
        <v>302</v>
      </c>
      <c r="U4" s="928"/>
      <c r="V4" s="928"/>
      <c r="W4" s="928"/>
      <c r="X4" s="928"/>
      <c r="Y4" s="929"/>
      <c r="Z4" s="972" t="s">
        <v>245</v>
      </c>
      <c r="AA4" s="973"/>
      <c r="AB4" s="974"/>
      <c r="AC4" s="969"/>
      <c r="AD4" s="970"/>
      <c r="AE4" s="970"/>
      <c r="AF4" s="970"/>
      <c r="AG4" s="970"/>
      <c r="AH4" s="970"/>
      <c r="AI4" s="970"/>
      <c r="AJ4" s="971"/>
      <c r="AK4" s="939"/>
      <c r="AL4" s="939"/>
      <c r="AM4" s="933"/>
      <c r="AN4" s="933"/>
      <c r="AO4" s="933"/>
      <c r="AP4" s="933"/>
      <c r="AQ4" s="927"/>
      <c r="AR4" s="934"/>
      <c r="AS4" s="243"/>
    </row>
    <row r="5" spans="1:45" s="242" customFormat="1" ht="16.5" customHeight="1">
      <c r="A5" s="950"/>
      <c r="B5" s="954"/>
      <c r="C5" s="955"/>
      <c r="D5" s="954"/>
      <c r="E5" s="955"/>
      <c r="F5" s="964" t="s">
        <v>229</v>
      </c>
      <c r="G5" s="961"/>
      <c r="H5" s="962"/>
      <c r="I5" s="962"/>
      <c r="J5" s="963"/>
      <c r="K5" s="961"/>
      <c r="L5" s="962"/>
      <c r="M5" s="962"/>
      <c r="N5" s="962"/>
      <c r="O5" s="962"/>
      <c r="P5" s="962"/>
      <c r="Q5" s="962"/>
      <c r="R5" s="962"/>
      <c r="S5" s="963"/>
      <c r="T5" s="927" t="s">
        <v>242</v>
      </c>
      <c r="U5" s="928"/>
      <c r="V5" s="929"/>
      <c r="W5" s="935" t="s">
        <v>243</v>
      </c>
      <c r="X5" s="936"/>
      <c r="Y5" s="937"/>
      <c r="Z5" s="975"/>
      <c r="AA5" s="976"/>
      <c r="AB5" s="977"/>
      <c r="AC5" s="978" t="s">
        <v>249</v>
      </c>
      <c r="AD5" s="978" t="s">
        <v>248</v>
      </c>
      <c r="AE5" s="927" t="s">
        <v>665</v>
      </c>
      <c r="AF5" s="928"/>
      <c r="AG5" s="929"/>
      <c r="AH5" s="927" t="s">
        <v>666</v>
      </c>
      <c r="AI5" s="928"/>
      <c r="AJ5" s="929"/>
      <c r="AK5" s="939"/>
      <c r="AL5" s="939"/>
      <c r="AM5" s="933"/>
      <c r="AN5" s="933"/>
      <c r="AO5" s="933"/>
      <c r="AP5" s="933"/>
      <c r="AQ5" s="927"/>
      <c r="AR5" s="934"/>
      <c r="AS5" s="243"/>
    </row>
    <row r="6" spans="1:45" s="244" customFormat="1" ht="38.25" customHeight="1">
      <c r="A6" s="951"/>
      <c r="B6" s="956"/>
      <c r="C6" s="957"/>
      <c r="D6" s="956"/>
      <c r="E6" s="957"/>
      <c r="F6" s="965"/>
      <c r="G6" s="748" t="s">
        <v>231</v>
      </c>
      <c r="H6" s="591" t="s">
        <v>232</v>
      </c>
      <c r="I6" s="591" t="s">
        <v>233</v>
      </c>
      <c r="J6" s="591" t="s">
        <v>234</v>
      </c>
      <c r="K6" s="591" t="s">
        <v>236</v>
      </c>
      <c r="L6" s="591" t="s">
        <v>237</v>
      </c>
      <c r="M6" s="591" t="s">
        <v>238</v>
      </c>
      <c r="N6" s="591" t="s">
        <v>239</v>
      </c>
      <c r="O6" s="591" t="s">
        <v>304</v>
      </c>
      <c r="P6" s="591" t="s">
        <v>305</v>
      </c>
      <c r="Q6" s="591" t="s">
        <v>240</v>
      </c>
      <c r="R6" s="591"/>
      <c r="S6" s="592" t="s">
        <v>241</v>
      </c>
      <c r="T6" s="591" t="s">
        <v>244</v>
      </c>
      <c r="U6" s="748" t="s">
        <v>303</v>
      </c>
      <c r="V6" s="592" t="s">
        <v>667</v>
      </c>
      <c r="W6" s="593" t="s">
        <v>668</v>
      </c>
      <c r="X6" s="592" t="s">
        <v>669</v>
      </c>
      <c r="Y6" s="592" t="s">
        <v>670</v>
      </c>
      <c r="Z6" s="748" t="s">
        <v>246</v>
      </c>
      <c r="AA6" s="748" t="s">
        <v>247</v>
      </c>
      <c r="AB6" s="748" t="s">
        <v>671</v>
      </c>
      <c r="AC6" s="979"/>
      <c r="AD6" s="979"/>
      <c r="AE6" s="748" t="s">
        <v>252</v>
      </c>
      <c r="AF6" s="748" t="s">
        <v>253</v>
      </c>
      <c r="AG6" s="748" t="s">
        <v>672</v>
      </c>
      <c r="AH6" s="748" t="s">
        <v>255</v>
      </c>
      <c r="AI6" s="748" t="s">
        <v>673</v>
      </c>
      <c r="AJ6" s="748" t="s">
        <v>674</v>
      </c>
      <c r="AK6" s="940"/>
      <c r="AL6" s="940"/>
      <c r="AM6" s="594" t="s">
        <v>675</v>
      </c>
      <c r="AN6" s="595" t="s">
        <v>152</v>
      </c>
      <c r="AO6" s="595" t="s">
        <v>1242</v>
      </c>
      <c r="AP6" s="595" t="s">
        <v>676</v>
      </c>
      <c r="AQ6" s="590" t="s">
        <v>677</v>
      </c>
      <c r="AR6" s="749" t="s">
        <v>678</v>
      </c>
      <c r="AS6" s="245"/>
    </row>
    <row r="7" spans="1:45" s="249" customFormat="1" ht="12.75">
      <c r="A7" s="596" t="s">
        <v>5</v>
      </c>
      <c r="B7" s="597" t="s">
        <v>7</v>
      </c>
      <c r="C7" s="598" t="s">
        <v>8</v>
      </c>
      <c r="D7" s="599" t="s">
        <v>9</v>
      </c>
      <c r="E7" s="608" t="s">
        <v>10</v>
      </c>
      <c r="F7" s="601"/>
      <c r="G7" s="602">
        <v>1</v>
      </c>
      <c r="H7" s="602">
        <v>2</v>
      </c>
      <c r="I7" s="602">
        <v>3</v>
      </c>
      <c r="J7" s="602">
        <v>4</v>
      </c>
      <c r="K7" s="602">
        <v>5</v>
      </c>
      <c r="L7" s="602">
        <v>6</v>
      </c>
      <c r="M7" s="602">
        <v>7</v>
      </c>
      <c r="N7" s="602">
        <v>8</v>
      </c>
      <c r="O7" s="602">
        <v>9</v>
      </c>
      <c r="P7" s="602">
        <v>10</v>
      </c>
      <c r="Q7" s="602">
        <v>11</v>
      </c>
      <c r="R7" s="602">
        <v>12</v>
      </c>
      <c r="S7" s="602">
        <v>13</v>
      </c>
      <c r="T7" s="602">
        <v>14</v>
      </c>
      <c r="U7" s="602">
        <v>15</v>
      </c>
      <c r="V7" s="602">
        <v>16</v>
      </c>
      <c r="W7" s="602">
        <v>17</v>
      </c>
      <c r="X7" s="602">
        <v>18</v>
      </c>
      <c r="Y7" s="602">
        <v>19</v>
      </c>
      <c r="Z7" s="602">
        <v>20</v>
      </c>
      <c r="AA7" s="602">
        <v>21</v>
      </c>
      <c r="AB7" s="602">
        <v>22</v>
      </c>
      <c r="AC7" s="602">
        <v>23</v>
      </c>
      <c r="AD7" s="602">
        <v>24</v>
      </c>
      <c r="AE7" s="602">
        <v>25</v>
      </c>
      <c r="AF7" s="602">
        <v>26</v>
      </c>
      <c r="AG7" s="602">
        <v>27</v>
      </c>
      <c r="AH7" s="602">
        <v>28</v>
      </c>
      <c r="AI7" s="602">
        <v>29</v>
      </c>
      <c r="AJ7" s="602">
        <v>30</v>
      </c>
      <c r="AK7" s="602">
        <v>31</v>
      </c>
      <c r="AL7" s="602">
        <v>32</v>
      </c>
      <c r="AM7" s="602">
        <v>33</v>
      </c>
      <c r="AN7" s="602">
        <v>34</v>
      </c>
      <c r="AO7" s="602">
        <v>35</v>
      </c>
      <c r="AP7" s="602">
        <v>36</v>
      </c>
      <c r="AQ7" s="602">
        <v>37</v>
      </c>
      <c r="AR7" s="602">
        <v>38</v>
      </c>
      <c r="AS7" s="250"/>
    </row>
    <row r="8" spans="1:45" s="249" customFormat="1" ht="18.75" customHeight="1">
      <c r="A8" s="912" t="s">
        <v>261</v>
      </c>
      <c r="B8" s="913"/>
      <c r="C8" s="913"/>
      <c r="D8" s="913"/>
      <c r="E8" s="913"/>
      <c r="F8" s="913"/>
      <c r="G8" s="913"/>
      <c r="H8" s="913"/>
      <c r="I8" s="913"/>
      <c r="J8" s="913"/>
      <c r="K8" s="913"/>
      <c r="L8" s="913"/>
      <c r="M8" s="913"/>
      <c r="N8" s="913"/>
      <c r="O8" s="913"/>
      <c r="P8" s="913"/>
      <c r="Q8" s="913"/>
      <c r="R8" s="913"/>
      <c r="S8" s="913"/>
      <c r="T8" s="913"/>
      <c r="U8" s="913"/>
      <c r="V8" s="913"/>
      <c r="W8" s="913"/>
      <c r="X8" s="913"/>
      <c r="Y8" s="913"/>
      <c r="Z8" s="913"/>
      <c r="AA8" s="913"/>
      <c r="AB8" s="913"/>
      <c r="AC8" s="913"/>
      <c r="AD8" s="913"/>
      <c r="AE8" s="913"/>
      <c r="AF8" s="913"/>
      <c r="AG8" s="913"/>
      <c r="AH8" s="913"/>
      <c r="AI8" s="913"/>
      <c r="AJ8" s="913"/>
      <c r="AK8" s="913"/>
      <c r="AL8" s="913"/>
      <c r="AM8" s="913"/>
      <c r="AN8" s="913"/>
      <c r="AO8" s="913"/>
      <c r="AP8" s="913"/>
      <c r="AQ8" s="913"/>
      <c r="AR8" s="914"/>
      <c r="AS8" s="250"/>
    </row>
    <row r="9" spans="1:45" s="242" customFormat="1" ht="54.75" customHeight="1">
      <c r="A9" s="917">
        <v>4</v>
      </c>
      <c r="B9" s="920">
        <v>4.1</v>
      </c>
      <c r="C9" s="919" t="s">
        <v>1231</v>
      </c>
      <c r="D9" s="269" t="s">
        <v>679</v>
      </c>
      <c r="E9" s="609" t="s">
        <v>1230</v>
      </c>
      <c r="F9" s="253"/>
      <c r="G9" s="270"/>
      <c r="H9" s="271"/>
      <c r="I9" s="271"/>
      <c r="J9" s="257">
        <f>G9*H9*I9</f>
        <v>0</v>
      </c>
      <c r="K9" s="272">
        <v>10</v>
      </c>
      <c r="L9" s="272">
        <v>2</v>
      </c>
      <c r="M9" s="272">
        <v>20</v>
      </c>
      <c r="N9" s="272">
        <v>300</v>
      </c>
      <c r="O9" s="272">
        <v>25</v>
      </c>
      <c r="P9" s="272"/>
      <c r="Q9" s="272">
        <v>20</v>
      </c>
      <c r="R9" s="272"/>
      <c r="S9" s="258">
        <f>(K9*L9*N9)+(K9*L9*M9*O9)+(K9*L9*M9*P9)+(K9*M9*Q9)+(K9*L9*R9)</f>
        <v>20000</v>
      </c>
      <c r="T9" s="273">
        <v>500</v>
      </c>
      <c r="U9" s="273">
        <v>350</v>
      </c>
      <c r="V9" s="259">
        <f>T9*U9</f>
        <v>175000</v>
      </c>
      <c r="W9" s="274">
        <v>700</v>
      </c>
      <c r="X9" s="274">
        <v>1200</v>
      </c>
      <c r="Y9" s="259">
        <f>W9*X9</f>
        <v>840000</v>
      </c>
      <c r="Z9" s="275"/>
      <c r="AA9" s="275"/>
      <c r="AB9" s="260">
        <f>Z9*AA9</f>
        <v>0</v>
      </c>
      <c r="AC9" s="260"/>
      <c r="AD9" s="260"/>
      <c r="AE9" s="419"/>
      <c r="AF9" s="419"/>
      <c r="AG9" s="260">
        <f>AE9*AF9</f>
        <v>0</v>
      </c>
      <c r="AH9" s="256"/>
      <c r="AI9" s="256"/>
      <c r="AJ9" s="260">
        <f>AH9*AI9</f>
        <v>0</v>
      </c>
      <c r="AK9" s="259">
        <v>200000</v>
      </c>
      <c r="AL9" s="259">
        <f aca="true" t="shared" si="0" ref="AL9:AL14">J9+S9+V9+Y9+AB9+AG9+AJ9+AK9+AC9+AD9</f>
        <v>1235000</v>
      </c>
      <c r="AM9" s="415"/>
      <c r="AN9" s="276"/>
      <c r="AO9" s="276"/>
      <c r="AP9" s="276"/>
      <c r="AQ9" s="276"/>
      <c r="AR9" s="262">
        <f aca="true" t="shared" si="1" ref="AR9:AR14">AL9-AM9-AN9-AO9-AP9-AQ9</f>
        <v>1235000</v>
      </c>
      <c r="AS9" s="243"/>
    </row>
    <row r="10" spans="1:45" s="242" customFormat="1" ht="54.75" customHeight="1">
      <c r="A10" s="918"/>
      <c r="B10" s="920"/>
      <c r="C10" s="919"/>
      <c r="D10" s="269" t="s">
        <v>680</v>
      </c>
      <c r="E10" s="269" t="s">
        <v>1232</v>
      </c>
      <c r="F10" s="253"/>
      <c r="G10" s="270"/>
      <c r="H10" s="271"/>
      <c r="I10" s="271"/>
      <c r="J10" s="257"/>
      <c r="K10" s="272"/>
      <c r="L10" s="272"/>
      <c r="M10" s="272"/>
      <c r="N10" s="272"/>
      <c r="O10" s="272"/>
      <c r="P10" s="272"/>
      <c r="Q10" s="272"/>
      <c r="R10" s="272"/>
      <c r="S10" s="258"/>
      <c r="T10" s="273"/>
      <c r="U10" s="273"/>
      <c r="V10" s="259">
        <v>50000</v>
      </c>
      <c r="W10" s="274"/>
      <c r="X10" s="274"/>
      <c r="Y10" s="259"/>
      <c r="Z10" s="275"/>
      <c r="AA10" s="275"/>
      <c r="AB10" s="260"/>
      <c r="AC10" s="260"/>
      <c r="AD10" s="260"/>
      <c r="AE10" s="419"/>
      <c r="AF10" s="419"/>
      <c r="AG10" s="260"/>
      <c r="AH10" s="256"/>
      <c r="AI10" s="256"/>
      <c r="AJ10" s="260"/>
      <c r="AK10" s="259"/>
      <c r="AL10" s="259">
        <f t="shared" si="0"/>
        <v>50000</v>
      </c>
      <c r="AM10" s="415"/>
      <c r="AN10" s="276"/>
      <c r="AO10" s="276"/>
      <c r="AP10" s="276"/>
      <c r="AQ10" s="276"/>
      <c r="AR10" s="262">
        <f t="shared" si="1"/>
        <v>50000</v>
      </c>
      <c r="AS10" s="243"/>
    </row>
    <row r="11" spans="1:45" s="294" customFormat="1" ht="43.5" customHeight="1">
      <c r="A11" s="918"/>
      <c r="B11" s="920"/>
      <c r="C11" s="919"/>
      <c r="D11" s="269" t="s">
        <v>681</v>
      </c>
      <c r="E11" s="269" t="s">
        <v>273</v>
      </c>
      <c r="F11" s="253"/>
      <c r="G11" s="270"/>
      <c r="H11" s="287"/>
      <c r="I11" s="287"/>
      <c r="J11" s="257">
        <f>G11*H11*I11</f>
        <v>0</v>
      </c>
      <c r="K11" s="272">
        <v>15</v>
      </c>
      <c r="L11" s="272">
        <v>5</v>
      </c>
      <c r="M11" s="288">
        <v>15</v>
      </c>
      <c r="N11" s="289">
        <v>300</v>
      </c>
      <c r="O11" s="289">
        <v>25</v>
      </c>
      <c r="P11" s="289"/>
      <c r="Q11" s="289">
        <v>20</v>
      </c>
      <c r="R11" s="289"/>
      <c r="S11" s="258">
        <f>(K11*L11*N11)+(K11*L11*M11*O11)+(K11*L11*M11*P11)+(K11*M11*Q11)+(K11*L11*R11)</f>
        <v>55125</v>
      </c>
      <c r="T11" s="290">
        <v>150</v>
      </c>
      <c r="U11" s="290">
        <v>350</v>
      </c>
      <c r="V11" s="259">
        <f>T11*U11</f>
        <v>52500</v>
      </c>
      <c r="W11" s="291">
        <v>320</v>
      </c>
      <c r="X11" s="291">
        <v>1200</v>
      </c>
      <c r="Y11" s="259">
        <f>W11*X11</f>
        <v>384000</v>
      </c>
      <c r="Z11" s="292"/>
      <c r="AA11" s="292"/>
      <c r="AB11" s="260">
        <f>Z11*AA11</f>
        <v>0</v>
      </c>
      <c r="AC11" s="587"/>
      <c r="AD11" s="587"/>
      <c r="AE11" s="586"/>
      <c r="AF11" s="586"/>
      <c r="AG11" s="260">
        <f>AE11*AF11</f>
        <v>0</v>
      </c>
      <c r="AH11" s="256"/>
      <c r="AI11" s="256"/>
      <c r="AJ11" s="260">
        <f>AH11*AI11</f>
        <v>0</v>
      </c>
      <c r="AK11" s="293">
        <v>50000</v>
      </c>
      <c r="AL11" s="259">
        <f t="shared" si="0"/>
        <v>541625</v>
      </c>
      <c r="AM11" s="415"/>
      <c r="AN11" s="276"/>
      <c r="AO11" s="276">
        <v>50000</v>
      </c>
      <c r="AP11" s="276"/>
      <c r="AQ11" s="276"/>
      <c r="AR11" s="262">
        <f t="shared" si="1"/>
        <v>491625</v>
      </c>
      <c r="AS11" s="295"/>
    </row>
    <row r="12" spans="1:45" s="263" customFormat="1" ht="54" customHeight="1">
      <c r="A12" s="918"/>
      <c r="B12" s="920"/>
      <c r="C12" s="919"/>
      <c r="D12" s="269" t="s">
        <v>682</v>
      </c>
      <c r="E12" s="269" t="s">
        <v>274</v>
      </c>
      <c r="F12" s="253" t="s">
        <v>275</v>
      </c>
      <c r="G12" s="270"/>
      <c r="H12" s="287"/>
      <c r="I12" s="287"/>
      <c r="J12" s="257">
        <f>G12*H12*I12</f>
        <v>0</v>
      </c>
      <c r="K12" s="272"/>
      <c r="L12" s="272"/>
      <c r="M12" s="288"/>
      <c r="N12" s="297"/>
      <c r="O12" s="297"/>
      <c r="P12" s="297"/>
      <c r="Q12" s="297"/>
      <c r="R12" s="297"/>
      <c r="S12" s="258">
        <f>(K12*L12*N12)+(K12*L12*M12*O12)+(K12*L12*M12*P12)+(K12*M12*Q12)+(K12*L12*R12)</f>
        <v>0</v>
      </c>
      <c r="T12" s="298"/>
      <c r="U12" s="298"/>
      <c r="V12" s="259">
        <v>50000</v>
      </c>
      <c r="W12" s="299"/>
      <c r="X12" s="299"/>
      <c r="Y12" s="259">
        <v>100000</v>
      </c>
      <c r="Z12" s="292"/>
      <c r="AA12" s="292"/>
      <c r="AB12" s="260">
        <f>Z12*AA12</f>
        <v>0</v>
      </c>
      <c r="AC12" s="587"/>
      <c r="AD12" s="587">
        <v>150000</v>
      </c>
      <c r="AE12" s="586"/>
      <c r="AF12" s="586"/>
      <c r="AG12" s="260">
        <v>200000</v>
      </c>
      <c r="AH12" s="256"/>
      <c r="AI12" s="256"/>
      <c r="AJ12" s="260">
        <f>AH12*AI12</f>
        <v>0</v>
      </c>
      <c r="AK12" s="293"/>
      <c r="AL12" s="259">
        <f t="shared" si="0"/>
        <v>500000</v>
      </c>
      <c r="AM12" s="415"/>
      <c r="AN12" s="276">
        <v>500000</v>
      </c>
      <c r="AO12" s="276"/>
      <c r="AP12" s="276"/>
      <c r="AQ12" s="276"/>
      <c r="AR12" s="262">
        <f t="shared" si="1"/>
        <v>0</v>
      </c>
      <c r="AS12" s="265"/>
    </row>
    <row r="13" spans="1:45" s="263" customFormat="1" ht="34.5" customHeight="1">
      <c r="A13" s="918"/>
      <c r="B13" s="920">
        <v>4.2</v>
      </c>
      <c r="C13" s="919" t="s">
        <v>262</v>
      </c>
      <c r="D13" s="254" t="s">
        <v>683</v>
      </c>
      <c r="E13" s="269" t="s">
        <v>276</v>
      </c>
      <c r="F13" s="255"/>
      <c r="G13" s="270"/>
      <c r="H13" s="287"/>
      <c r="I13" s="287"/>
      <c r="J13" s="257">
        <f>G13*H13*I13</f>
        <v>0</v>
      </c>
      <c r="K13" s="256"/>
      <c r="L13" s="256"/>
      <c r="M13" s="256"/>
      <c r="N13" s="256"/>
      <c r="O13" s="256"/>
      <c r="P13" s="256"/>
      <c r="Q13" s="256"/>
      <c r="R13" s="256"/>
      <c r="S13" s="258">
        <f>(K13*L13*N13)+(K13*L13*M13*O13)+(K13*L13*M13*P13)+(K13*M13*Q13)+(K13*L13*R13)</f>
        <v>0</v>
      </c>
      <c r="T13" s="256"/>
      <c r="U13" s="256"/>
      <c r="V13" s="259">
        <f>T13*U13</f>
        <v>0</v>
      </c>
      <c r="W13" s="256"/>
      <c r="X13" s="256"/>
      <c r="Y13" s="259">
        <f>W13*X13</f>
        <v>0</v>
      </c>
      <c r="Z13" s="256"/>
      <c r="AA13" s="256"/>
      <c r="AB13" s="260">
        <f>Z13*AA13</f>
        <v>0</v>
      </c>
      <c r="AC13" s="261"/>
      <c r="AD13" s="261"/>
      <c r="AE13" s="256"/>
      <c r="AF13" s="256"/>
      <c r="AG13" s="260">
        <f>AE13*AF13</f>
        <v>0</v>
      </c>
      <c r="AH13" s="256"/>
      <c r="AI13" s="256"/>
      <c r="AJ13" s="260">
        <f>AH13*AI13</f>
        <v>0</v>
      </c>
      <c r="AK13" s="266">
        <v>40000</v>
      </c>
      <c r="AL13" s="259">
        <f t="shared" si="0"/>
        <v>40000</v>
      </c>
      <c r="AM13" s="416">
        <v>40000</v>
      </c>
      <c r="AN13" s="256"/>
      <c r="AO13" s="256"/>
      <c r="AP13" s="256"/>
      <c r="AQ13" s="256"/>
      <c r="AR13" s="262">
        <f t="shared" si="1"/>
        <v>0</v>
      </c>
      <c r="AS13" s="265"/>
    </row>
    <row r="14" spans="1:45" s="263" customFormat="1" ht="47.25" customHeight="1">
      <c r="A14" s="918"/>
      <c r="B14" s="920"/>
      <c r="C14" s="919"/>
      <c r="D14" s="254" t="s">
        <v>684</v>
      </c>
      <c r="E14" s="269" t="s">
        <v>277</v>
      </c>
      <c r="F14" s="255"/>
      <c r="G14" s="270"/>
      <c r="H14" s="287"/>
      <c r="I14" s="287"/>
      <c r="J14" s="257">
        <f>G14*H14*I14</f>
        <v>0</v>
      </c>
      <c r="K14" s="256"/>
      <c r="L14" s="256"/>
      <c r="M14" s="256"/>
      <c r="N14" s="256"/>
      <c r="O14" s="256"/>
      <c r="P14" s="256"/>
      <c r="Q14" s="256"/>
      <c r="R14" s="256"/>
      <c r="S14" s="258">
        <f>(K14*L14*N14)+(K14*L14*M14*O14)+(K14*L14*M14*P14)+(K14*M14*Q14)+(K14*L14*R14)</f>
        <v>0</v>
      </c>
      <c r="T14" s="256"/>
      <c r="U14" s="256"/>
      <c r="V14" s="259">
        <f>T14*U14</f>
        <v>0</v>
      </c>
      <c r="W14" s="256"/>
      <c r="X14" s="256"/>
      <c r="Y14" s="259">
        <f>W14*X14</f>
        <v>0</v>
      </c>
      <c r="Z14" s="256"/>
      <c r="AA14" s="256"/>
      <c r="AB14" s="260">
        <f>Z14*AA14</f>
        <v>0</v>
      </c>
      <c r="AC14" s="261"/>
      <c r="AD14" s="261"/>
      <c r="AE14" s="256"/>
      <c r="AF14" s="256"/>
      <c r="AG14" s="260">
        <f>AE14*AF14</f>
        <v>0</v>
      </c>
      <c r="AH14" s="256"/>
      <c r="AI14" s="256"/>
      <c r="AJ14" s="260">
        <f>AH14*AI14</f>
        <v>0</v>
      </c>
      <c r="AK14" s="261">
        <v>30000</v>
      </c>
      <c r="AL14" s="259">
        <f t="shared" si="0"/>
        <v>30000</v>
      </c>
      <c r="AM14" s="416">
        <v>30000</v>
      </c>
      <c r="AN14" s="256"/>
      <c r="AO14" s="256"/>
      <c r="AP14" s="256"/>
      <c r="AQ14" s="256"/>
      <c r="AR14" s="262">
        <f t="shared" si="1"/>
        <v>0</v>
      </c>
      <c r="AS14" s="265"/>
    </row>
    <row r="15" spans="1:45" s="263" customFormat="1" ht="16.5" customHeight="1">
      <c r="A15" s="424"/>
      <c r="B15" s="425"/>
      <c r="C15" s="426"/>
      <c r="D15" s="427"/>
      <c r="E15" s="610"/>
      <c r="F15" s="428"/>
      <c r="G15" s="429"/>
      <c r="H15" s="429"/>
      <c r="I15" s="429"/>
      <c r="J15" s="430"/>
      <c r="K15" s="429"/>
      <c r="L15" s="429"/>
      <c r="M15" s="429"/>
      <c r="N15" s="429"/>
      <c r="O15" s="429"/>
      <c r="P15" s="429"/>
      <c r="Q15" s="429"/>
      <c r="R15" s="429"/>
      <c r="S15" s="431">
        <f>SUM(S9:S14)</f>
        <v>75125</v>
      </c>
      <c r="T15" s="431"/>
      <c r="U15" s="431"/>
      <c r="V15" s="431">
        <f aca="true" t="shared" si="2" ref="V15:AR15">SUM(V9:V14)</f>
        <v>327500</v>
      </c>
      <c r="W15" s="431"/>
      <c r="X15" s="431"/>
      <c r="Y15" s="431">
        <f t="shared" si="2"/>
        <v>1324000</v>
      </c>
      <c r="Z15" s="431">
        <f t="shared" si="2"/>
        <v>0</v>
      </c>
      <c r="AA15" s="431">
        <f t="shared" si="2"/>
        <v>0</v>
      </c>
      <c r="AB15" s="431">
        <f t="shared" si="2"/>
        <v>0</v>
      </c>
      <c r="AC15" s="431">
        <f t="shared" si="2"/>
        <v>0</v>
      </c>
      <c r="AD15" s="431">
        <f t="shared" si="2"/>
        <v>150000</v>
      </c>
      <c r="AE15" s="431">
        <f t="shared" si="2"/>
        <v>0</v>
      </c>
      <c r="AF15" s="431">
        <f t="shared" si="2"/>
        <v>0</v>
      </c>
      <c r="AG15" s="431">
        <f t="shared" si="2"/>
        <v>200000</v>
      </c>
      <c r="AH15" s="431">
        <f t="shared" si="2"/>
        <v>0</v>
      </c>
      <c r="AI15" s="431">
        <f t="shared" si="2"/>
        <v>0</v>
      </c>
      <c r="AJ15" s="431">
        <f t="shared" si="2"/>
        <v>0</v>
      </c>
      <c r="AK15" s="431">
        <f t="shared" si="2"/>
        <v>320000</v>
      </c>
      <c r="AL15" s="431">
        <f t="shared" si="2"/>
        <v>2396625</v>
      </c>
      <c r="AM15" s="431">
        <f t="shared" si="2"/>
        <v>70000</v>
      </c>
      <c r="AN15" s="431">
        <f t="shared" si="2"/>
        <v>500000</v>
      </c>
      <c r="AO15" s="431">
        <f t="shared" si="2"/>
        <v>50000</v>
      </c>
      <c r="AP15" s="431">
        <f t="shared" si="2"/>
        <v>0</v>
      </c>
      <c r="AQ15" s="431">
        <f t="shared" si="2"/>
        <v>0</v>
      </c>
      <c r="AR15" s="431">
        <f t="shared" si="2"/>
        <v>1776625</v>
      </c>
      <c r="AS15" s="265"/>
    </row>
    <row r="16" spans="1:45" s="249" customFormat="1" ht="21.75" customHeight="1">
      <c r="A16" s="912" t="s">
        <v>263</v>
      </c>
      <c r="B16" s="913"/>
      <c r="C16" s="913"/>
      <c r="D16" s="913"/>
      <c r="E16" s="913"/>
      <c r="F16" s="913"/>
      <c r="G16" s="913"/>
      <c r="H16" s="913"/>
      <c r="I16" s="913"/>
      <c r="J16" s="913"/>
      <c r="K16" s="913"/>
      <c r="L16" s="913"/>
      <c r="M16" s="913"/>
      <c r="N16" s="913"/>
      <c r="O16" s="913"/>
      <c r="P16" s="913"/>
      <c r="Q16" s="913"/>
      <c r="R16" s="913"/>
      <c r="S16" s="913"/>
      <c r="T16" s="913"/>
      <c r="U16" s="913"/>
      <c r="V16" s="913"/>
      <c r="W16" s="913"/>
      <c r="X16" s="913"/>
      <c r="Y16" s="913"/>
      <c r="Z16" s="913"/>
      <c r="AA16" s="913"/>
      <c r="AB16" s="913"/>
      <c r="AC16" s="913"/>
      <c r="AD16" s="913"/>
      <c r="AE16" s="913"/>
      <c r="AF16" s="913"/>
      <c r="AG16" s="913"/>
      <c r="AH16" s="913"/>
      <c r="AI16" s="913"/>
      <c r="AJ16" s="913"/>
      <c r="AK16" s="913"/>
      <c r="AL16" s="913"/>
      <c r="AM16" s="913"/>
      <c r="AN16" s="913"/>
      <c r="AO16" s="913"/>
      <c r="AP16" s="913"/>
      <c r="AQ16" s="913"/>
      <c r="AR16" s="914"/>
      <c r="AS16" s="250"/>
    </row>
    <row r="17" spans="1:46" s="294" customFormat="1" ht="62.25" customHeight="1">
      <c r="A17" s="335"/>
      <c r="B17" s="606">
        <v>6.1</v>
      </c>
      <c r="C17" s="334" t="s">
        <v>264</v>
      </c>
      <c r="D17" s="269" t="s">
        <v>685</v>
      </c>
      <c r="E17" s="269" t="s">
        <v>279</v>
      </c>
      <c r="F17" s="253" t="s">
        <v>278</v>
      </c>
      <c r="G17" s="270"/>
      <c r="H17" s="287"/>
      <c r="I17" s="287"/>
      <c r="J17" s="257"/>
      <c r="K17" s="272"/>
      <c r="L17" s="272"/>
      <c r="M17" s="288"/>
      <c r="N17" s="297"/>
      <c r="O17" s="297"/>
      <c r="P17" s="297"/>
      <c r="Q17" s="297"/>
      <c r="R17" s="297"/>
      <c r="S17" s="258"/>
      <c r="T17" s="298"/>
      <c r="U17" s="298"/>
      <c r="V17" s="259"/>
      <c r="W17" s="299"/>
      <c r="X17" s="299"/>
      <c r="Y17" s="259"/>
      <c r="Z17" s="292"/>
      <c r="AA17" s="292"/>
      <c r="AB17" s="260"/>
      <c r="AC17" s="587"/>
      <c r="AD17" s="587"/>
      <c r="AE17" s="586"/>
      <c r="AF17" s="586"/>
      <c r="AG17" s="260"/>
      <c r="AH17" s="586"/>
      <c r="AI17" s="586"/>
      <c r="AJ17" s="260"/>
      <c r="AK17" s="293">
        <v>50000</v>
      </c>
      <c r="AL17" s="259">
        <v>50000</v>
      </c>
      <c r="AM17" s="415">
        <v>50000</v>
      </c>
      <c r="AN17" s="276"/>
      <c r="AO17" s="276"/>
      <c r="AP17" s="276"/>
      <c r="AQ17" s="276"/>
      <c r="AR17" s="262">
        <f>AL17-AM17-AN17-AO17-AP17-AQ17</f>
        <v>0</v>
      </c>
      <c r="AS17" s="300"/>
      <c r="AT17" s="301"/>
    </row>
    <row r="18" spans="1:44" ht="40.5" customHeight="1">
      <c r="A18" s="921">
        <v>6</v>
      </c>
      <c r="B18" s="921">
        <v>6.2</v>
      </c>
      <c r="C18" s="980" t="s">
        <v>686</v>
      </c>
      <c r="D18" s="269" t="s">
        <v>687</v>
      </c>
      <c r="E18" s="269" t="s">
        <v>280</v>
      </c>
      <c r="F18" s="253" t="s">
        <v>688</v>
      </c>
      <c r="G18" s="270"/>
      <c r="H18" s="271"/>
      <c r="I18" s="271"/>
      <c r="J18" s="257">
        <f>G18*H18*I18</f>
        <v>0</v>
      </c>
      <c r="K18" s="272"/>
      <c r="L18" s="272"/>
      <c r="M18" s="272"/>
      <c r="N18" s="272"/>
      <c r="O18" s="272"/>
      <c r="P18" s="272"/>
      <c r="Q18" s="272"/>
      <c r="R18" s="272"/>
      <c r="S18" s="258">
        <f>(K18*L18*N18)+(K18*L18*M18*O18)+(K18*L18*M18*P18)+(K18*M18*Q18)+(K18*L18*R18)</f>
        <v>0</v>
      </c>
      <c r="T18" s="273"/>
      <c r="U18" s="273"/>
      <c r="V18" s="259">
        <f>T18*U18</f>
        <v>0</v>
      </c>
      <c r="W18" s="274"/>
      <c r="X18" s="274"/>
      <c r="Y18" s="259">
        <f>W18*X18</f>
        <v>0</v>
      </c>
      <c r="Z18" s="275"/>
      <c r="AA18" s="275"/>
      <c r="AB18" s="260">
        <f aca="true" t="shared" si="3" ref="AB18:AB35">Z18*AA18</f>
        <v>0</v>
      </c>
      <c r="AC18" s="260"/>
      <c r="AD18" s="260"/>
      <c r="AE18" s="419"/>
      <c r="AF18" s="419"/>
      <c r="AG18" s="260">
        <f>AE18*AF18</f>
        <v>0</v>
      </c>
      <c r="AH18" s="419"/>
      <c r="AI18" s="419"/>
      <c r="AJ18" s="260">
        <f>AH18*AI18</f>
        <v>0</v>
      </c>
      <c r="AK18" s="259">
        <v>60000</v>
      </c>
      <c r="AL18" s="259">
        <v>60000</v>
      </c>
      <c r="AM18" s="415">
        <v>60000</v>
      </c>
      <c r="AN18" s="276"/>
      <c r="AO18" s="276"/>
      <c r="AP18" s="276"/>
      <c r="AQ18" s="276"/>
      <c r="AR18" s="262">
        <f aca="true" t="shared" si="4" ref="AR18:AR36">AL18-AM18-AN18-AO18-AP18-AQ18</f>
        <v>0</v>
      </c>
    </row>
    <row r="19" spans="1:44" ht="35.25" customHeight="1">
      <c r="A19" s="922"/>
      <c r="B19" s="922"/>
      <c r="C19" s="981"/>
      <c r="D19" s="269" t="s">
        <v>689</v>
      </c>
      <c r="E19" s="269" t="s">
        <v>282</v>
      </c>
      <c r="F19" s="503"/>
      <c r="G19" s="270"/>
      <c r="H19" s="271"/>
      <c r="I19" s="271"/>
      <c r="J19" s="257">
        <f>G19*H19*I19</f>
        <v>0</v>
      </c>
      <c r="K19" s="272">
        <v>2</v>
      </c>
      <c r="L19" s="272">
        <v>1</v>
      </c>
      <c r="M19" s="272">
        <v>20</v>
      </c>
      <c r="N19" s="272">
        <v>300</v>
      </c>
      <c r="O19" s="272">
        <v>25</v>
      </c>
      <c r="P19" s="272"/>
      <c r="Q19" s="272">
        <v>20</v>
      </c>
      <c r="R19" s="272"/>
      <c r="S19" s="258">
        <f>(K19*L19*N19)+(K19*L19*M19*O19)+(K19*L19*M19*P19)+(K19*M19*Q19)+(K19*L19*R19)</f>
        <v>2400</v>
      </c>
      <c r="T19" s="273">
        <v>50</v>
      </c>
      <c r="U19" s="273">
        <v>350</v>
      </c>
      <c r="V19" s="259">
        <f>T19*U19</f>
        <v>17500</v>
      </c>
      <c r="W19" s="274"/>
      <c r="X19" s="274"/>
      <c r="Y19" s="259">
        <f>W19*X19</f>
        <v>0</v>
      </c>
      <c r="Z19" s="275"/>
      <c r="AA19" s="275"/>
      <c r="AB19" s="260">
        <f t="shared" si="3"/>
        <v>0</v>
      </c>
      <c r="AC19" s="260"/>
      <c r="AD19" s="260"/>
      <c r="AE19" s="419"/>
      <c r="AF19" s="419"/>
      <c r="AG19" s="260">
        <f>AE19*AF19</f>
        <v>0</v>
      </c>
      <c r="AH19" s="419"/>
      <c r="AI19" s="419"/>
      <c r="AJ19" s="260">
        <f>AH19*AI19</f>
        <v>0</v>
      </c>
      <c r="AK19" s="259"/>
      <c r="AL19" s="259">
        <f aca="true" t="shared" si="5" ref="AL19:AL35">J19+S19+V19+Y19+AB19+AG19+AJ19+AK19+AC19+AD19</f>
        <v>19900</v>
      </c>
      <c r="AM19" s="415"/>
      <c r="AN19" s="276"/>
      <c r="AO19" s="276"/>
      <c r="AP19" s="276"/>
      <c r="AQ19" s="276"/>
      <c r="AR19" s="262">
        <f t="shared" si="4"/>
        <v>19900</v>
      </c>
    </row>
    <row r="20" spans="1:44" ht="43.5" customHeight="1">
      <c r="A20" s="922"/>
      <c r="B20" s="923"/>
      <c r="C20" s="982"/>
      <c r="D20" s="269" t="s">
        <v>690</v>
      </c>
      <c r="E20" s="269" t="s">
        <v>283</v>
      </c>
      <c r="F20" s="253" t="s">
        <v>1181</v>
      </c>
      <c r="G20" s="270"/>
      <c r="H20" s="271"/>
      <c r="I20" s="271"/>
      <c r="J20" s="257">
        <f>G20*H20*I20</f>
        <v>0</v>
      </c>
      <c r="K20" s="272"/>
      <c r="L20" s="272"/>
      <c r="M20" s="272"/>
      <c r="N20" s="272"/>
      <c r="O20" s="272"/>
      <c r="P20" s="272"/>
      <c r="Q20" s="272"/>
      <c r="R20" s="272"/>
      <c r="S20" s="258">
        <f>(K20*L20*N20)+(K20*L20*M20*O20)+(K20*L20*M20*P20)+(K20*M20*Q20)+(K20*L20*R20)</f>
        <v>0</v>
      </c>
      <c r="T20" s="273"/>
      <c r="U20" s="273"/>
      <c r="V20" s="259">
        <f>T20*U20</f>
        <v>0</v>
      </c>
      <c r="W20" s="274"/>
      <c r="X20" s="274"/>
      <c r="Y20" s="259">
        <f>W20*X20</f>
        <v>0</v>
      </c>
      <c r="Z20" s="275"/>
      <c r="AA20" s="275"/>
      <c r="AB20" s="260">
        <f t="shared" si="3"/>
        <v>0</v>
      </c>
      <c r="AC20" s="260"/>
      <c r="AD20" s="260"/>
      <c r="AE20" s="419"/>
      <c r="AF20" s="419"/>
      <c r="AG20" s="260">
        <f>AE20*AF20</f>
        <v>0</v>
      </c>
      <c r="AH20" s="419"/>
      <c r="AI20" s="419"/>
      <c r="AJ20" s="260">
        <f>AH20*AI20</f>
        <v>0</v>
      </c>
      <c r="AK20" s="259"/>
      <c r="AL20" s="259">
        <f t="shared" si="5"/>
        <v>0</v>
      </c>
      <c r="AM20" s="415"/>
      <c r="AN20" s="276"/>
      <c r="AO20" s="276"/>
      <c r="AP20" s="276"/>
      <c r="AQ20" s="276"/>
      <c r="AR20" s="262">
        <f t="shared" si="4"/>
        <v>0</v>
      </c>
    </row>
    <row r="21" spans="1:44" ht="42" customHeight="1">
      <c r="A21" s="922"/>
      <c r="B21" s="209">
        <v>6.3</v>
      </c>
      <c r="C21" s="253" t="s">
        <v>266</v>
      </c>
      <c r="D21" s="269" t="s">
        <v>691</v>
      </c>
      <c r="E21" s="269" t="s">
        <v>284</v>
      </c>
      <c r="F21" s="253"/>
      <c r="G21" s="270"/>
      <c r="H21" s="271"/>
      <c r="I21" s="271"/>
      <c r="J21" s="257">
        <f>G21*H21*I21</f>
        <v>0</v>
      </c>
      <c r="K21" s="272"/>
      <c r="L21" s="272"/>
      <c r="M21" s="272"/>
      <c r="N21" s="272"/>
      <c r="O21" s="272"/>
      <c r="P21" s="272"/>
      <c r="Q21" s="272"/>
      <c r="R21" s="272"/>
      <c r="S21" s="258">
        <f>(K21*L21*N21)+(K21*L21*M21*O21)+(K21*L21*M21*P21)+(K21*M21*Q21)+(K21*L21*R21)</f>
        <v>0</v>
      </c>
      <c r="T21" s="273"/>
      <c r="U21" s="273"/>
      <c r="V21" s="259">
        <f>T21*U21</f>
        <v>0</v>
      </c>
      <c r="W21" s="274"/>
      <c r="X21" s="274"/>
      <c r="Y21" s="259">
        <f>W21*X21</f>
        <v>0</v>
      </c>
      <c r="Z21" s="275"/>
      <c r="AA21" s="275"/>
      <c r="AB21" s="260">
        <f t="shared" si="3"/>
        <v>0</v>
      </c>
      <c r="AC21" s="260"/>
      <c r="AD21" s="260"/>
      <c r="AE21" s="419"/>
      <c r="AF21" s="419"/>
      <c r="AG21" s="260">
        <f>AE21*AF21</f>
        <v>0</v>
      </c>
      <c r="AH21" s="419"/>
      <c r="AI21" s="419"/>
      <c r="AJ21" s="260">
        <f>AH21*AI21</f>
        <v>0</v>
      </c>
      <c r="AK21" s="259"/>
      <c r="AL21" s="259">
        <f t="shared" si="5"/>
        <v>0</v>
      </c>
      <c r="AM21" s="415"/>
      <c r="AN21" s="276"/>
      <c r="AO21" s="276"/>
      <c r="AP21" s="276"/>
      <c r="AQ21" s="276"/>
      <c r="AR21" s="262">
        <f t="shared" si="4"/>
        <v>0</v>
      </c>
    </row>
    <row r="22" spans="1:44" ht="63" customHeight="1">
      <c r="A22" s="922"/>
      <c r="B22" s="921">
        <v>6.4</v>
      </c>
      <c r="C22" s="925" t="s">
        <v>306</v>
      </c>
      <c r="D22" s="269" t="s">
        <v>692</v>
      </c>
      <c r="E22" s="269" t="s">
        <v>285</v>
      </c>
      <c r="F22" s="253"/>
      <c r="G22" s="270"/>
      <c r="H22" s="271"/>
      <c r="I22" s="271"/>
      <c r="J22" s="257"/>
      <c r="K22" s="272"/>
      <c r="L22" s="272"/>
      <c r="M22" s="272"/>
      <c r="N22" s="272"/>
      <c r="O22" s="272"/>
      <c r="P22" s="272"/>
      <c r="Q22" s="272"/>
      <c r="R22" s="272"/>
      <c r="S22" s="258"/>
      <c r="T22" s="273"/>
      <c r="U22" s="273"/>
      <c r="V22" s="259"/>
      <c r="W22" s="274"/>
      <c r="X22" s="274"/>
      <c r="Y22" s="259">
        <v>300000</v>
      </c>
      <c r="Z22" s="275"/>
      <c r="AA22" s="275"/>
      <c r="AB22" s="260">
        <f t="shared" si="3"/>
        <v>0</v>
      </c>
      <c r="AC22" s="260"/>
      <c r="AD22" s="260"/>
      <c r="AE22" s="419"/>
      <c r="AF22" s="419"/>
      <c r="AG22" s="260"/>
      <c r="AH22" s="419"/>
      <c r="AI22" s="419"/>
      <c r="AJ22" s="260"/>
      <c r="AK22" s="259"/>
      <c r="AL22" s="259">
        <f t="shared" si="5"/>
        <v>300000</v>
      </c>
      <c r="AM22" s="415"/>
      <c r="AN22" s="276">
        <f>AL22</f>
        <v>300000</v>
      </c>
      <c r="AO22" s="276"/>
      <c r="AP22" s="276"/>
      <c r="AQ22" s="276"/>
      <c r="AR22" s="262">
        <f t="shared" si="4"/>
        <v>0</v>
      </c>
    </row>
    <row r="23" spans="1:44" ht="33" customHeight="1">
      <c r="A23" s="922"/>
      <c r="B23" s="923"/>
      <c r="C23" s="926"/>
      <c r="D23" s="269" t="s">
        <v>693</v>
      </c>
      <c r="E23" s="269" t="s">
        <v>286</v>
      </c>
      <c r="F23" s="253"/>
      <c r="G23" s="270"/>
      <c r="H23" s="271"/>
      <c r="I23" s="271"/>
      <c r="J23" s="257">
        <f aca="true" t="shared" si="6" ref="J23:J35">G23*H23*I23</f>
        <v>0</v>
      </c>
      <c r="K23" s="272"/>
      <c r="L23" s="272"/>
      <c r="M23" s="272"/>
      <c r="N23" s="272"/>
      <c r="O23" s="272"/>
      <c r="P23" s="272"/>
      <c r="Q23" s="272"/>
      <c r="R23" s="272"/>
      <c r="S23" s="258">
        <f>(K23*L23*N23)+(K23*L23*M23*O23)+(K23*L23*M23*P23)+(K23*M23*Q23)+(K23*L23*R23)</f>
        <v>0</v>
      </c>
      <c r="T23" s="273"/>
      <c r="U23" s="273"/>
      <c r="V23" s="259">
        <f aca="true" t="shared" si="7" ref="V23:V35">T23*U23</f>
        <v>0</v>
      </c>
      <c r="W23" s="274"/>
      <c r="X23" s="274"/>
      <c r="Y23" s="259">
        <v>50000</v>
      </c>
      <c r="Z23" s="275"/>
      <c r="AA23" s="275"/>
      <c r="AB23" s="260">
        <f t="shared" si="3"/>
        <v>0</v>
      </c>
      <c r="AC23" s="260"/>
      <c r="AD23" s="260"/>
      <c r="AE23" s="419"/>
      <c r="AF23" s="419"/>
      <c r="AG23" s="260">
        <f aca="true" t="shared" si="8" ref="AG23:AG35">AE23*AF23</f>
        <v>0</v>
      </c>
      <c r="AH23" s="419"/>
      <c r="AI23" s="419"/>
      <c r="AJ23" s="260">
        <f aca="true" t="shared" si="9" ref="AJ23:AJ35">AH23*AI23</f>
        <v>0</v>
      </c>
      <c r="AK23" s="259"/>
      <c r="AL23" s="259">
        <f t="shared" si="5"/>
        <v>50000</v>
      </c>
      <c r="AM23" s="415"/>
      <c r="AN23" s="276">
        <f>AL23</f>
        <v>50000</v>
      </c>
      <c r="AO23" s="276"/>
      <c r="AP23" s="276"/>
      <c r="AQ23" s="276"/>
      <c r="AR23" s="262">
        <f t="shared" si="4"/>
        <v>0</v>
      </c>
    </row>
    <row r="24" spans="1:44" ht="21" customHeight="1">
      <c r="A24" s="922"/>
      <c r="B24" s="915">
        <v>6.5</v>
      </c>
      <c r="C24" s="924" t="s">
        <v>267</v>
      </c>
      <c r="D24" s="269" t="s">
        <v>694</v>
      </c>
      <c r="E24" s="269" t="s">
        <v>290</v>
      </c>
      <c r="F24" s="253"/>
      <c r="G24" s="270"/>
      <c r="H24" s="271"/>
      <c r="I24" s="271"/>
      <c r="J24" s="257">
        <f t="shared" si="6"/>
        <v>0</v>
      </c>
      <c r="K24" s="272"/>
      <c r="L24" s="272"/>
      <c r="M24" s="272"/>
      <c r="N24" s="272"/>
      <c r="O24" s="272"/>
      <c r="P24" s="272"/>
      <c r="Q24" s="272"/>
      <c r="R24" s="272"/>
      <c r="S24" s="258">
        <v>35000</v>
      </c>
      <c r="T24" s="273"/>
      <c r="U24" s="273"/>
      <c r="V24" s="259">
        <f t="shared" si="7"/>
        <v>0</v>
      </c>
      <c r="W24" s="274"/>
      <c r="X24" s="274"/>
      <c r="Y24" s="259">
        <f aca="true" t="shared" si="10" ref="Y24:Y35">W24*X24</f>
        <v>0</v>
      </c>
      <c r="Z24" s="275"/>
      <c r="AA24" s="275"/>
      <c r="AB24" s="260">
        <f t="shared" si="3"/>
        <v>0</v>
      </c>
      <c r="AC24" s="260"/>
      <c r="AD24" s="260">
        <v>25000</v>
      </c>
      <c r="AE24" s="419"/>
      <c r="AF24" s="419"/>
      <c r="AG24" s="260">
        <f t="shared" si="8"/>
        <v>0</v>
      </c>
      <c r="AH24" s="419"/>
      <c r="AI24" s="419"/>
      <c r="AJ24" s="260">
        <f t="shared" si="9"/>
        <v>0</v>
      </c>
      <c r="AK24" s="259">
        <v>5000</v>
      </c>
      <c r="AL24" s="259">
        <f t="shared" si="5"/>
        <v>65000</v>
      </c>
      <c r="AM24" s="415">
        <v>5000</v>
      </c>
      <c r="AN24" s="276"/>
      <c r="AO24" s="276"/>
      <c r="AP24" s="276">
        <v>60000</v>
      </c>
      <c r="AQ24" s="276"/>
      <c r="AR24" s="262">
        <f t="shared" si="4"/>
        <v>0</v>
      </c>
    </row>
    <row r="25" spans="1:44" ht="29.25" customHeight="1">
      <c r="A25" s="922"/>
      <c r="B25" s="915"/>
      <c r="C25" s="924"/>
      <c r="D25" s="269" t="s">
        <v>695</v>
      </c>
      <c r="E25" s="269" t="s">
        <v>289</v>
      </c>
      <c r="F25" s="253"/>
      <c r="G25" s="270"/>
      <c r="H25" s="271"/>
      <c r="I25" s="271"/>
      <c r="J25" s="257">
        <f t="shared" si="6"/>
        <v>0</v>
      </c>
      <c r="K25" s="272"/>
      <c r="L25" s="272"/>
      <c r="M25" s="272"/>
      <c r="N25" s="272"/>
      <c r="O25" s="272"/>
      <c r="P25" s="272"/>
      <c r="Q25" s="272"/>
      <c r="R25" s="272"/>
      <c r="S25" s="258">
        <f aca="true" t="shared" si="11" ref="S25:S35">(K25*L25*N25)+(K25*L25*M25*O25)+(K25*L25*M25*P25)+(K25*M25*Q25)+(K25*L25*R25)</f>
        <v>0</v>
      </c>
      <c r="T25" s="273">
        <f>10*10</f>
        <v>100</v>
      </c>
      <c r="U25" s="273">
        <v>350</v>
      </c>
      <c r="V25" s="259">
        <f t="shared" si="7"/>
        <v>35000</v>
      </c>
      <c r="W25" s="274">
        <f>10*30</f>
        <v>300</v>
      </c>
      <c r="X25" s="274">
        <v>1200</v>
      </c>
      <c r="Y25" s="259">
        <f t="shared" si="10"/>
        <v>360000</v>
      </c>
      <c r="Z25" s="275"/>
      <c r="AA25" s="275"/>
      <c r="AB25" s="260">
        <f t="shared" si="3"/>
        <v>0</v>
      </c>
      <c r="AC25" s="260"/>
      <c r="AD25" s="260"/>
      <c r="AE25" s="419"/>
      <c r="AF25" s="419"/>
      <c r="AG25" s="260">
        <f t="shared" si="8"/>
        <v>0</v>
      </c>
      <c r="AH25" s="603"/>
      <c r="AI25" s="603"/>
      <c r="AJ25" s="260">
        <f t="shared" si="9"/>
        <v>0</v>
      </c>
      <c r="AK25" s="259">
        <v>50000</v>
      </c>
      <c r="AL25" s="259">
        <f t="shared" si="5"/>
        <v>445000</v>
      </c>
      <c r="AM25" s="415">
        <v>50000</v>
      </c>
      <c r="AN25" s="276"/>
      <c r="AO25" s="276"/>
      <c r="AP25" s="276"/>
      <c r="AQ25" s="276"/>
      <c r="AR25" s="262">
        <f t="shared" si="4"/>
        <v>395000</v>
      </c>
    </row>
    <row r="26" spans="1:44" ht="15.75" customHeight="1">
      <c r="A26" s="922"/>
      <c r="B26" s="915"/>
      <c r="C26" s="924"/>
      <c r="D26" s="269" t="s">
        <v>696</v>
      </c>
      <c r="E26" s="269" t="s">
        <v>287</v>
      </c>
      <c r="F26" s="253"/>
      <c r="G26" s="270"/>
      <c r="H26" s="271"/>
      <c r="I26" s="271"/>
      <c r="J26" s="257">
        <f t="shared" si="6"/>
        <v>0</v>
      </c>
      <c r="K26" s="272"/>
      <c r="L26" s="272"/>
      <c r="M26" s="272"/>
      <c r="N26" s="272"/>
      <c r="O26" s="272"/>
      <c r="P26" s="272"/>
      <c r="Q26" s="272"/>
      <c r="R26" s="272"/>
      <c r="S26" s="258">
        <f t="shared" si="11"/>
        <v>0</v>
      </c>
      <c r="T26" s="273"/>
      <c r="U26" s="273"/>
      <c r="V26" s="259">
        <f t="shared" si="7"/>
        <v>0</v>
      </c>
      <c r="W26" s="274"/>
      <c r="X26" s="274"/>
      <c r="Y26" s="259">
        <f t="shared" si="10"/>
        <v>0</v>
      </c>
      <c r="Z26" s="275"/>
      <c r="AA26" s="275"/>
      <c r="AB26" s="260">
        <f t="shared" si="3"/>
        <v>0</v>
      </c>
      <c r="AC26" s="260"/>
      <c r="AD26" s="260"/>
      <c r="AE26" s="419"/>
      <c r="AF26" s="419"/>
      <c r="AG26" s="260">
        <f t="shared" si="8"/>
        <v>0</v>
      </c>
      <c r="AH26" s="603"/>
      <c r="AI26" s="603"/>
      <c r="AJ26" s="260">
        <f t="shared" si="9"/>
        <v>0</v>
      </c>
      <c r="AK26" s="259">
        <v>30000</v>
      </c>
      <c r="AL26" s="259">
        <f t="shared" si="5"/>
        <v>30000</v>
      </c>
      <c r="AM26" s="415">
        <v>30000</v>
      </c>
      <c r="AN26" s="276"/>
      <c r="AO26" s="276"/>
      <c r="AP26" s="276"/>
      <c r="AQ26" s="276"/>
      <c r="AR26" s="262">
        <f t="shared" si="4"/>
        <v>0</v>
      </c>
    </row>
    <row r="27" spans="1:44" ht="25.5">
      <c r="A27" s="922"/>
      <c r="B27" s="915"/>
      <c r="C27" s="924"/>
      <c r="D27" s="269" t="s">
        <v>697</v>
      </c>
      <c r="E27" s="269" t="s">
        <v>288</v>
      </c>
      <c r="F27" s="253"/>
      <c r="G27" s="270"/>
      <c r="H27" s="271"/>
      <c r="I27" s="271"/>
      <c r="J27" s="257">
        <f t="shared" si="6"/>
        <v>0</v>
      </c>
      <c r="K27" s="272"/>
      <c r="L27" s="272"/>
      <c r="M27" s="272"/>
      <c r="N27" s="272"/>
      <c r="O27" s="272"/>
      <c r="P27" s="272"/>
      <c r="Q27" s="272"/>
      <c r="R27" s="272"/>
      <c r="S27" s="258">
        <f t="shared" si="11"/>
        <v>0</v>
      </c>
      <c r="T27" s="273">
        <v>80</v>
      </c>
      <c r="U27" s="273">
        <v>350</v>
      </c>
      <c r="V27" s="259">
        <f t="shared" si="7"/>
        <v>28000</v>
      </c>
      <c r="W27" s="274">
        <f>15*10</f>
        <v>150</v>
      </c>
      <c r="X27" s="274">
        <v>1200</v>
      </c>
      <c r="Y27" s="259">
        <f t="shared" si="10"/>
        <v>180000</v>
      </c>
      <c r="Z27" s="275"/>
      <c r="AA27" s="275"/>
      <c r="AB27" s="260">
        <f t="shared" si="3"/>
        <v>0</v>
      </c>
      <c r="AC27" s="260"/>
      <c r="AD27" s="260"/>
      <c r="AE27" s="419"/>
      <c r="AF27" s="419"/>
      <c r="AG27" s="260">
        <f t="shared" si="8"/>
        <v>0</v>
      </c>
      <c r="AH27" s="419"/>
      <c r="AI27" s="419"/>
      <c r="AJ27" s="260">
        <f t="shared" si="9"/>
        <v>0</v>
      </c>
      <c r="AK27" s="259">
        <v>5000</v>
      </c>
      <c r="AL27" s="259">
        <f t="shared" si="5"/>
        <v>213000</v>
      </c>
      <c r="AM27" s="415">
        <v>5000</v>
      </c>
      <c r="AN27" s="276"/>
      <c r="AO27" s="276"/>
      <c r="AP27" s="276"/>
      <c r="AQ27" s="276"/>
      <c r="AR27" s="262">
        <f t="shared" si="4"/>
        <v>208000</v>
      </c>
    </row>
    <row r="28" spans="1:44" ht="41.25" customHeight="1">
      <c r="A28" s="922"/>
      <c r="B28" s="915">
        <v>6.6</v>
      </c>
      <c r="C28" s="916" t="s">
        <v>268</v>
      </c>
      <c r="D28" s="269" t="s">
        <v>148</v>
      </c>
      <c r="E28" s="269" t="s">
        <v>291</v>
      </c>
      <c r="F28" s="253"/>
      <c r="G28" s="270"/>
      <c r="H28" s="271"/>
      <c r="I28" s="271"/>
      <c r="J28" s="257">
        <f t="shared" si="6"/>
        <v>0</v>
      </c>
      <c r="K28" s="272"/>
      <c r="L28" s="272"/>
      <c r="M28" s="272"/>
      <c r="N28" s="272"/>
      <c r="O28" s="272"/>
      <c r="P28" s="272"/>
      <c r="Q28" s="272"/>
      <c r="R28" s="272"/>
      <c r="S28" s="258">
        <f t="shared" si="11"/>
        <v>0</v>
      </c>
      <c r="T28" s="273">
        <v>300</v>
      </c>
      <c r="U28" s="273">
        <v>350</v>
      </c>
      <c r="V28" s="259">
        <f t="shared" si="7"/>
        <v>105000</v>
      </c>
      <c r="W28" s="274">
        <v>200</v>
      </c>
      <c r="X28" s="274">
        <v>1200</v>
      </c>
      <c r="Y28" s="259">
        <f t="shared" si="10"/>
        <v>240000</v>
      </c>
      <c r="Z28" s="275"/>
      <c r="AA28" s="275"/>
      <c r="AB28" s="260">
        <f t="shared" si="3"/>
        <v>0</v>
      </c>
      <c r="AC28" s="260"/>
      <c r="AD28" s="260"/>
      <c r="AE28" s="419"/>
      <c r="AF28" s="419"/>
      <c r="AG28" s="260">
        <f t="shared" si="8"/>
        <v>0</v>
      </c>
      <c r="AH28" s="419"/>
      <c r="AI28" s="419"/>
      <c r="AJ28" s="260">
        <f t="shared" si="9"/>
        <v>0</v>
      </c>
      <c r="AK28" s="259">
        <v>3000</v>
      </c>
      <c r="AL28" s="259">
        <f t="shared" si="5"/>
        <v>348000</v>
      </c>
      <c r="AM28" s="415"/>
      <c r="AN28" s="276"/>
      <c r="AO28" s="276"/>
      <c r="AP28" s="276"/>
      <c r="AQ28" s="276"/>
      <c r="AR28" s="262">
        <f t="shared" si="4"/>
        <v>348000</v>
      </c>
    </row>
    <row r="29" spans="1:44" ht="53.25" customHeight="1">
      <c r="A29" s="922"/>
      <c r="B29" s="915"/>
      <c r="C29" s="916"/>
      <c r="D29" s="269" t="s">
        <v>149</v>
      </c>
      <c r="E29" s="269" t="s">
        <v>292</v>
      </c>
      <c r="F29" s="253"/>
      <c r="G29" s="270"/>
      <c r="H29" s="271"/>
      <c r="I29" s="271"/>
      <c r="J29" s="257">
        <f t="shared" si="6"/>
        <v>0</v>
      </c>
      <c r="K29" s="272">
        <v>4</v>
      </c>
      <c r="L29" s="272">
        <v>3</v>
      </c>
      <c r="M29" s="272">
        <v>20</v>
      </c>
      <c r="N29" s="272">
        <v>300</v>
      </c>
      <c r="O29" s="272">
        <v>25</v>
      </c>
      <c r="P29" s="272"/>
      <c r="Q29" s="272">
        <v>20</v>
      </c>
      <c r="R29" s="272"/>
      <c r="S29" s="258">
        <f t="shared" si="11"/>
        <v>11200</v>
      </c>
      <c r="T29" s="273"/>
      <c r="U29" s="273"/>
      <c r="V29" s="259">
        <f t="shared" si="7"/>
        <v>0</v>
      </c>
      <c r="W29" s="274"/>
      <c r="X29" s="274"/>
      <c r="Y29" s="259">
        <f t="shared" si="10"/>
        <v>0</v>
      </c>
      <c r="Z29" s="275"/>
      <c r="AA29" s="275"/>
      <c r="AB29" s="260">
        <f t="shared" si="3"/>
        <v>0</v>
      </c>
      <c r="AC29" s="260"/>
      <c r="AD29" s="260"/>
      <c r="AE29" s="419"/>
      <c r="AF29" s="419"/>
      <c r="AG29" s="260">
        <f t="shared" si="8"/>
        <v>0</v>
      </c>
      <c r="AH29" s="419"/>
      <c r="AI29" s="419"/>
      <c r="AJ29" s="260">
        <f t="shared" si="9"/>
        <v>0</v>
      </c>
      <c r="AK29" s="259"/>
      <c r="AL29" s="259">
        <f t="shared" si="5"/>
        <v>11200</v>
      </c>
      <c r="AM29" s="415"/>
      <c r="AN29" s="276"/>
      <c r="AO29" s="276"/>
      <c r="AP29" s="276"/>
      <c r="AQ29" s="276"/>
      <c r="AR29" s="262">
        <f t="shared" si="4"/>
        <v>11200</v>
      </c>
    </row>
    <row r="30" spans="1:44" ht="25.5" customHeight="1">
      <c r="A30" s="922"/>
      <c r="B30" s="915">
        <v>6.7</v>
      </c>
      <c r="C30" s="924" t="s">
        <v>307</v>
      </c>
      <c r="D30" s="269" t="s">
        <v>698</v>
      </c>
      <c r="E30" s="269" t="s">
        <v>1205</v>
      </c>
      <c r="F30" s="253"/>
      <c r="G30" s="270"/>
      <c r="H30" s="271"/>
      <c r="I30" s="271"/>
      <c r="J30" s="257">
        <f t="shared" si="6"/>
        <v>0</v>
      </c>
      <c r="K30" s="272"/>
      <c r="L30" s="272"/>
      <c r="M30" s="272"/>
      <c r="N30" s="272"/>
      <c r="O30" s="272"/>
      <c r="P30" s="272"/>
      <c r="Q30" s="272"/>
      <c r="R30" s="272"/>
      <c r="S30" s="258">
        <f t="shared" si="11"/>
        <v>0</v>
      </c>
      <c r="T30" s="273"/>
      <c r="U30" s="273"/>
      <c r="V30" s="259">
        <f t="shared" si="7"/>
        <v>0</v>
      </c>
      <c r="W30" s="274">
        <v>100</v>
      </c>
      <c r="X30" s="274">
        <v>1200</v>
      </c>
      <c r="Y30" s="259">
        <f t="shared" si="10"/>
        <v>120000</v>
      </c>
      <c r="Z30" s="275"/>
      <c r="AA30" s="275"/>
      <c r="AB30" s="260">
        <f t="shared" si="3"/>
        <v>0</v>
      </c>
      <c r="AC30" s="260"/>
      <c r="AD30" s="260"/>
      <c r="AE30" s="419"/>
      <c r="AF30" s="419"/>
      <c r="AG30" s="260">
        <f t="shared" si="8"/>
        <v>0</v>
      </c>
      <c r="AH30" s="419"/>
      <c r="AI30" s="419"/>
      <c r="AJ30" s="260">
        <f t="shared" si="9"/>
        <v>0</v>
      </c>
      <c r="AK30" s="259">
        <v>10000</v>
      </c>
      <c r="AL30" s="259">
        <f t="shared" si="5"/>
        <v>130000</v>
      </c>
      <c r="AM30" s="415"/>
      <c r="AN30" s="276"/>
      <c r="AO30" s="276"/>
      <c r="AP30" s="276"/>
      <c r="AQ30" s="276"/>
      <c r="AR30" s="262">
        <f t="shared" si="4"/>
        <v>130000</v>
      </c>
    </row>
    <row r="31" spans="1:44" ht="40.5" customHeight="1">
      <c r="A31" s="922"/>
      <c r="B31" s="915"/>
      <c r="C31" s="924"/>
      <c r="D31" s="269" t="s">
        <v>699</v>
      </c>
      <c r="E31" s="269" t="s">
        <v>1206</v>
      </c>
      <c r="F31" s="253" t="s">
        <v>700</v>
      </c>
      <c r="G31" s="270"/>
      <c r="H31" s="271"/>
      <c r="I31" s="271"/>
      <c r="J31" s="257">
        <f t="shared" si="6"/>
        <v>0</v>
      </c>
      <c r="K31" s="272"/>
      <c r="L31" s="272"/>
      <c r="M31" s="272"/>
      <c r="N31" s="272"/>
      <c r="O31" s="272"/>
      <c r="P31" s="272"/>
      <c r="Q31" s="272"/>
      <c r="R31" s="272"/>
      <c r="S31" s="258">
        <f t="shared" si="11"/>
        <v>0</v>
      </c>
      <c r="T31" s="273"/>
      <c r="U31" s="273"/>
      <c r="V31" s="259">
        <f t="shared" si="7"/>
        <v>0</v>
      </c>
      <c r="W31" s="274"/>
      <c r="X31" s="274"/>
      <c r="Y31" s="259">
        <f t="shared" si="10"/>
        <v>0</v>
      </c>
      <c r="Z31" s="275"/>
      <c r="AA31" s="275"/>
      <c r="AB31" s="260">
        <f t="shared" si="3"/>
        <v>0</v>
      </c>
      <c r="AC31" s="260"/>
      <c r="AD31" s="260"/>
      <c r="AE31" s="419"/>
      <c r="AF31" s="419"/>
      <c r="AG31" s="260">
        <f t="shared" si="8"/>
        <v>0</v>
      </c>
      <c r="AH31" s="419"/>
      <c r="AI31" s="419"/>
      <c r="AJ31" s="260">
        <f t="shared" si="9"/>
        <v>0</v>
      </c>
      <c r="AK31" s="259">
        <v>8000</v>
      </c>
      <c r="AL31" s="259">
        <f t="shared" si="5"/>
        <v>8000</v>
      </c>
      <c r="AM31" s="415"/>
      <c r="AN31" s="276"/>
      <c r="AO31" s="276"/>
      <c r="AP31" s="276"/>
      <c r="AQ31" s="276"/>
      <c r="AR31" s="262">
        <f t="shared" si="4"/>
        <v>8000</v>
      </c>
    </row>
    <row r="32" spans="1:44" ht="42.75" customHeight="1">
      <c r="A32" s="922"/>
      <c r="B32" s="915">
        <v>6.8</v>
      </c>
      <c r="C32" s="915" t="s">
        <v>269</v>
      </c>
      <c r="D32" s="269" t="s">
        <v>701</v>
      </c>
      <c r="E32" s="269" t="s">
        <v>1243</v>
      </c>
      <c r="F32" s="253" t="s">
        <v>106</v>
      </c>
      <c r="G32" s="270"/>
      <c r="H32" s="271"/>
      <c r="I32" s="271"/>
      <c r="J32" s="257">
        <f t="shared" si="6"/>
        <v>0</v>
      </c>
      <c r="K32" s="272"/>
      <c r="L32" s="272"/>
      <c r="M32" s="272"/>
      <c r="N32" s="272"/>
      <c r="O32" s="272"/>
      <c r="P32" s="272"/>
      <c r="Q32" s="272"/>
      <c r="R32" s="272"/>
      <c r="S32" s="258">
        <f t="shared" si="11"/>
        <v>0</v>
      </c>
      <c r="T32" s="273"/>
      <c r="U32" s="273"/>
      <c r="V32" s="259">
        <f t="shared" si="7"/>
        <v>0</v>
      </c>
      <c r="W32" s="274"/>
      <c r="X32" s="274"/>
      <c r="Y32" s="259">
        <f t="shared" si="10"/>
        <v>0</v>
      </c>
      <c r="Z32" s="275"/>
      <c r="AA32" s="275"/>
      <c r="AB32" s="260">
        <v>20000</v>
      </c>
      <c r="AC32" s="260"/>
      <c r="AD32" s="260">
        <v>288000</v>
      </c>
      <c r="AE32" s="419"/>
      <c r="AF32" s="419"/>
      <c r="AG32" s="260">
        <f t="shared" si="8"/>
        <v>0</v>
      </c>
      <c r="AH32" s="419"/>
      <c r="AI32" s="419"/>
      <c r="AJ32" s="260">
        <f t="shared" si="9"/>
        <v>0</v>
      </c>
      <c r="AK32" s="259"/>
      <c r="AL32" s="259">
        <f t="shared" si="5"/>
        <v>308000</v>
      </c>
      <c r="AM32" s="415">
        <v>20000</v>
      </c>
      <c r="AN32" s="276"/>
      <c r="AO32" s="276"/>
      <c r="AP32" s="276">
        <f>AL32-AM32</f>
        <v>288000</v>
      </c>
      <c r="AQ32" s="276"/>
      <c r="AR32" s="262">
        <f t="shared" si="4"/>
        <v>0</v>
      </c>
    </row>
    <row r="33" spans="1:44" ht="40.5" customHeight="1">
      <c r="A33" s="922"/>
      <c r="B33" s="915"/>
      <c r="C33" s="915"/>
      <c r="D33" s="269" t="s">
        <v>702</v>
      </c>
      <c r="E33" s="269" t="s">
        <v>293</v>
      </c>
      <c r="F33" s="253"/>
      <c r="G33" s="270"/>
      <c r="H33" s="271"/>
      <c r="I33" s="271"/>
      <c r="J33" s="257">
        <f t="shared" si="6"/>
        <v>0</v>
      </c>
      <c r="K33" s="272">
        <v>20</v>
      </c>
      <c r="L33" s="272">
        <v>3</v>
      </c>
      <c r="M33" s="272">
        <v>25</v>
      </c>
      <c r="N33" s="272">
        <v>300</v>
      </c>
      <c r="O33" s="272">
        <v>25</v>
      </c>
      <c r="P33" s="272">
        <v>30</v>
      </c>
      <c r="Q33" s="272">
        <v>20</v>
      </c>
      <c r="R33" s="272"/>
      <c r="S33" s="258">
        <f t="shared" si="11"/>
        <v>110500</v>
      </c>
      <c r="T33" s="273">
        <f>(20*3)*2+3</f>
        <v>123</v>
      </c>
      <c r="U33" s="273">
        <v>350</v>
      </c>
      <c r="V33" s="259">
        <f t="shared" si="7"/>
        <v>43050</v>
      </c>
      <c r="W33" s="274"/>
      <c r="X33" s="274"/>
      <c r="Y33" s="259">
        <f t="shared" si="10"/>
        <v>0</v>
      </c>
      <c r="Z33" s="275"/>
      <c r="AA33" s="275"/>
      <c r="AB33" s="260">
        <f t="shared" si="3"/>
        <v>0</v>
      </c>
      <c r="AC33" s="260"/>
      <c r="AD33" s="260"/>
      <c r="AE33" s="419"/>
      <c r="AF33" s="419"/>
      <c r="AG33" s="260">
        <f t="shared" si="8"/>
        <v>0</v>
      </c>
      <c r="AH33" s="419"/>
      <c r="AI33" s="419"/>
      <c r="AJ33" s="260">
        <f t="shared" si="9"/>
        <v>0</v>
      </c>
      <c r="AK33" s="259">
        <v>5000</v>
      </c>
      <c r="AL33" s="259">
        <f t="shared" si="5"/>
        <v>158550</v>
      </c>
      <c r="AM33" s="415"/>
      <c r="AN33" s="276"/>
      <c r="AO33" s="276"/>
      <c r="AP33" s="276"/>
      <c r="AQ33" s="276"/>
      <c r="AR33" s="262">
        <f t="shared" si="4"/>
        <v>158550</v>
      </c>
    </row>
    <row r="34" spans="1:44" ht="42" customHeight="1">
      <c r="A34" s="922"/>
      <c r="B34" s="915"/>
      <c r="C34" s="915"/>
      <c r="D34" s="269" t="s">
        <v>703</v>
      </c>
      <c r="E34" s="269" t="s">
        <v>294</v>
      </c>
      <c r="F34" s="253"/>
      <c r="G34" s="270"/>
      <c r="H34" s="271"/>
      <c r="I34" s="271"/>
      <c r="J34" s="257">
        <f t="shared" si="6"/>
        <v>0</v>
      </c>
      <c r="K34" s="272"/>
      <c r="L34" s="272"/>
      <c r="M34" s="272"/>
      <c r="N34" s="272"/>
      <c r="O34" s="272"/>
      <c r="P34" s="272"/>
      <c r="Q34" s="272"/>
      <c r="R34" s="272"/>
      <c r="S34" s="258">
        <f t="shared" si="11"/>
        <v>0</v>
      </c>
      <c r="T34" s="273"/>
      <c r="U34" s="273"/>
      <c r="V34" s="259">
        <f t="shared" si="7"/>
        <v>0</v>
      </c>
      <c r="W34" s="274"/>
      <c r="X34" s="274"/>
      <c r="Y34" s="259">
        <f t="shared" si="10"/>
        <v>0</v>
      </c>
      <c r="Z34" s="275"/>
      <c r="AA34" s="275"/>
      <c r="AB34" s="260">
        <f t="shared" si="3"/>
        <v>0</v>
      </c>
      <c r="AC34" s="260"/>
      <c r="AD34" s="260"/>
      <c r="AE34" s="419"/>
      <c r="AF34" s="419"/>
      <c r="AG34" s="260">
        <f t="shared" si="8"/>
        <v>0</v>
      </c>
      <c r="AH34" s="419"/>
      <c r="AI34" s="419"/>
      <c r="AJ34" s="260">
        <f t="shared" si="9"/>
        <v>0</v>
      </c>
      <c r="AK34" s="259">
        <v>30000</v>
      </c>
      <c r="AL34" s="259">
        <f t="shared" si="5"/>
        <v>30000</v>
      </c>
      <c r="AM34" s="415">
        <v>30000</v>
      </c>
      <c r="AN34" s="276"/>
      <c r="AO34" s="276"/>
      <c r="AP34" s="276"/>
      <c r="AQ34" s="276"/>
      <c r="AR34" s="262">
        <f t="shared" si="4"/>
        <v>0</v>
      </c>
    </row>
    <row r="35" spans="1:44" ht="38.25">
      <c r="A35" s="923"/>
      <c r="B35" s="915"/>
      <c r="C35" s="915"/>
      <c r="D35" s="269" t="s">
        <v>704</v>
      </c>
      <c r="E35" s="269" t="s">
        <v>295</v>
      </c>
      <c r="F35" s="253"/>
      <c r="G35" s="270"/>
      <c r="H35" s="271"/>
      <c r="I35" s="271"/>
      <c r="J35" s="257">
        <f t="shared" si="6"/>
        <v>0</v>
      </c>
      <c r="K35" s="272">
        <v>6</v>
      </c>
      <c r="L35" s="272">
        <v>3</v>
      </c>
      <c r="M35" s="272">
        <v>25</v>
      </c>
      <c r="N35" s="272">
        <v>300</v>
      </c>
      <c r="O35" s="272">
        <v>25</v>
      </c>
      <c r="P35" s="272">
        <v>30</v>
      </c>
      <c r="Q35" s="272">
        <v>20</v>
      </c>
      <c r="R35" s="272"/>
      <c r="S35" s="258">
        <f t="shared" si="11"/>
        <v>33150</v>
      </c>
      <c r="T35" s="273"/>
      <c r="U35" s="273"/>
      <c r="V35" s="259">
        <f t="shared" si="7"/>
        <v>0</v>
      </c>
      <c r="W35" s="274"/>
      <c r="X35" s="274"/>
      <c r="Y35" s="259">
        <f t="shared" si="10"/>
        <v>0</v>
      </c>
      <c r="Z35" s="275"/>
      <c r="AA35" s="275"/>
      <c r="AB35" s="260">
        <f t="shared" si="3"/>
        <v>0</v>
      </c>
      <c r="AC35" s="260"/>
      <c r="AD35" s="260"/>
      <c r="AE35" s="419"/>
      <c r="AF35" s="419"/>
      <c r="AG35" s="260">
        <f t="shared" si="8"/>
        <v>0</v>
      </c>
      <c r="AH35" s="419"/>
      <c r="AI35" s="419"/>
      <c r="AJ35" s="260">
        <f t="shared" si="9"/>
        <v>0</v>
      </c>
      <c r="AK35" s="259">
        <v>3000</v>
      </c>
      <c r="AL35" s="259">
        <f t="shared" si="5"/>
        <v>36150</v>
      </c>
      <c r="AM35" s="415"/>
      <c r="AN35" s="276"/>
      <c r="AO35" s="276"/>
      <c r="AP35" s="276"/>
      <c r="AQ35" s="276"/>
      <c r="AR35" s="262">
        <f t="shared" si="4"/>
        <v>36150</v>
      </c>
    </row>
    <row r="36" spans="1:44" ht="38.25" customHeight="1">
      <c r="A36" s="296"/>
      <c r="B36" s="209">
        <v>6.9</v>
      </c>
      <c r="C36" s="209"/>
      <c r="D36" s="269" t="s">
        <v>705</v>
      </c>
      <c r="E36" s="269" t="s">
        <v>296</v>
      </c>
      <c r="F36" s="253"/>
      <c r="G36" s="270"/>
      <c r="H36" s="271"/>
      <c r="I36" s="271"/>
      <c r="J36" s="257"/>
      <c r="K36" s="272"/>
      <c r="L36" s="272"/>
      <c r="M36" s="272"/>
      <c r="N36" s="272"/>
      <c r="O36" s="272"/>
      <c r="P36" s="272"/>
      <c r="Q36" s="272"/>
      <c r="R36" s="272"/>
      <c r="S36" s="258"/>
      <c r="T36" s="273"/>
      <c r="U36" s="273"/>
      <c r="V36" s="259"/>
      <c r="W36" s="274"/>
      <c r="X36" s="274"/>
      <c r="Y36" s="259">
        <v>200000</v>
      </c>
      <c r="Z36" s="275"/>
      <c r="AA36" s="275"/>
      <c r="AB36" s="260"/>
      <c r="AC36" s="260"/>
      <c r="AD36" s="260">
        <v>150000</v>
      </c>
      <c r="AE36" s="419"/>
      <c r="AF36" s="419"/>
      <c r="AG36" s="260"/>
      <c r="AH36" s="419"/>
      <c r="AI36" s="419"/>
      <c r="AJ36" s="260"/>
      <c r="AK36" s="259"/>
      <c r="AL36" s="259">
        <f>J36+S36+V36+Y36+AB36+AG36+AJ36+AK36+AC36+AD36</f>
        <v>350000</v>
      </c>
      <c r="AM36" s="415"/>
      <c r="AN36" s="276">
        <v>350000</v>
      </c>
      <c r="AO36" s="276"/>
      <c r="AP36" s="276"/>
      <c r="AQ36" s="276"/>
      <c r="AR36" s="262">
        <f t="shared" si="4"/>
        <v>0</v>
      </c>
    </row>
    <row r="37" spans="1:44" ht="19.5" customHeight="1">
      <c r="A37" s="430"/>
      <c r="B37" s="430"/>
      <c r="C37" s="430"/>
      <c r="D37" s="430"/>
      <c r="E37" s="611"/>
      <c r="F37" s="430"/>
      <c r="G37" s="430"/>
      <c r="H37" s="430"/>
      <c r="I37" s="430"/>
      <c r="J37" s="430"/>
      <c r="K37" s="430"/>
      <c r="L37" s="430"/>
      <c r="M37" s="430"/>
      <c r="N37" s="430"/>
      <c r="O37" s="430"/>
      <c r="P37" s="430"/>
      <c r="Q37" s="430"/>
      <c r="R37" s="430"/>
      <c r="S37" s="430">
        <f>SUM(S17:S36)</f>
        <v>192250</v>
      </c>
      <c r="T37" s="430"/>
      <c r="U37" s="430"/>
      <c r="V37" s="430">
        <f>SUM(V17:V36)</f>
        <v>228550</v>
      </c>
      <c r="W37" s="430"/>
      <c r="X37" s="430"/>
      <c r="Y37" s="430">
        <f aca="true" t="shared" si="12" ref="Y37:AR37">SUM(Y17:Y36)</f>
        <v>1450000</v>
      </c>
      <c r="Z37" s="430">
        <f t="shared" si="12"/>
        <v>0</v>
      </c>
      <c r="AA37" s="430">
        <f t="shared" si="12"/>
        <v>0</v>
      </c>
      <c r="AB37" s="430">
        <f t="shared" si="12"/>
        <v>20000</v>
      </c>
      <c r="AC37" s="430">
        <f t="shared" si="12"/>
        <v>0</v>
      </c>
      <c r="AD37" s="430">
        <f t="shared" si="12"/>
        <v>463000</v>
      </c>
      <c r="AE37" s="430">
        <f t="shared" si="12"/>
        <v>0</v>
      </c>
      <c r="AF37" s="430">
        <f t="shared" si="12"/>
        <v>0</v>
      </c>
      <c r="AG37" s="430">
        <f t="shared" si="12"/>
        <v>0</v>
      </c>
      <c r="AH37" s="430">
        <f t="shared" si="12"/>
        <v>0</v>
      </c>
      <c r="AI37" s="430">
        <f t="shared" si="12"/>
        <v>0</v>
      </c>
      <c r="AJ37" s="430">
        <f t="shared" si="12"/>
        <v>0</v>
      </c>
      <c r="AK37" s="430">
        <f t="shared" si="12"/>
        <v>259000</v>
      </c>
      <c r="AL37" s="430">
        <f t="shared" si="12"/>
        <v>2612800</v>
      </c>
      <c r="AM37" s="430">
        <f t="shared" si="12"/>
        <v>250000</v>
      </c>
      <c r="AN37" s="430">
        <f t="shared" si="12"/>
        <v>700000</v>
      </c>
      <c r="AO37" s="430">
        <f t="shared" si="12"/>
        <v>0</v>
      </c>
      <c r="AP37" s="430">
        <f t="shared" si="12"/>
        <v>348000</v>
      </c>
      <c r="AQ37" s="430">
        <f t="shared" si="12"/>
        <v>0</v>
      </c>
      <c r="AR37" s="430">
        <f t="shared" si="12"/>
        <v>1314800</v>
      </c>
    </row>
    <row r="38" spans="1:45" s="249" customFormat="1" ht="21" customHeight="1">
      <c r="A38" s="912" t="s">
        <v>270</v>
      </c>
      <c r="B38" s="913"/>
      <c r="C38" s="913"/>
      <c r="D38" s="913"/>
      <c r="E38" s="913"/>
      <c r="F38" s="913"/>
      <c r="G38" s="913"/>
      <c r="H38" s="913"/>
      <c r="I38" s="913"/>
      <c r="J38" s="913"/>
      <c r="K38" s="913"/>
      <c r="L38" s="913"/>
      <c r="M38" s="913"/>
      <c r="N38" s="913"/>
      <c r="O38" s="913"/>
      <c r="P38" s="913"/>
      <c r="Q38" s="913"/>
      <c r="R38" s="913"/>
      <c r="S38" s="913"/>
      <c r="T38" s="913"/>
      <c r="U38" s="913"/>
      <c r="V38" s="913"/>
      <c r="W38" s="913"/>
      <c r="X38" s="913"/>
      <c r="Y38" s="913"/>
      <c r="Z38" s="913"/>
      <c r="AA38" s="913"/>
      <c r="AB38" s="913"/>
      <c r="AC38" s="913"/>
      <c r="AD38" s="913"/>
      <c r="AE38" s="913"/>
      <c r="AF38" s="913"/>
      <c r="AG38" s="913"/>
      <c r="AH38" s="913"/>
      <c r="AI38" s="913"/>
      <c r="AJ38" s="913"/>
      <c r="AK38" s="913"/>
      <c r="AL38" s="913"/>
      <c r="AM38" s="913"/>
      <c r="AN38" s="913"/>
      <c r="AO38" s="913"/>
      <c r="AP38" s="913"/>
      <c r="AQ38" s="913"/>
      <c r="AR38" s="914"/>
      <c r="AS38" s="250"/>
    </row>
    <row r="39" spans="1:44" ht="29.25" customHeight="1">
      <c r="A39" s="921">
        <v>7</v>
      </c>
      <c r="B39" s="915">
        <v>7.1</v>
      </c>
      <c r="C39" s="916" t="s">
        <v>1182</v>
      </c>
      <c r="D39" s="269" t="s">
        <v>706</v>
      </c>
      <c r="E39" s="269" t="s">
        <v>297</v>
      </c>
      <c r="F39" s="253"/>
      <c r="G39" s="270"/>
      <c r="H39" s="271"/>
      <c r="I39" s="271"/>
      <c r="J39" s="257">
        <f>G39*H39*I39</f>
        <v>0</v>
      </c>
      <c r="K39" s="272"/>
      <c r="L39" s="272"/>
      <c r="M39" s="272"/>
      <c r="N39" s="272"/>
      <c r="O39" s="272"/>
      <c r="P39" s="272"/>
      <c r="Q39" s="272"/>
      <c r="R39" s="272"/>
      <c r="S39" s="258">
        <f>(K39*L39*N39)+(K39*L39*M39*O39)+(K39*L39*M39*P39)+(K39*M39*Q39)+(K39*L39*R39)</f>
        <v>0</v>
      </c>
      <c r="T39" s="273">
        <v>200</v>
      </c>
      <c r="U39" s="273">
        <v>350</v>
      </c>
      <c r="V39" s="259">
        <f>T39*U39</f>
        <v>70000</v>
      </c>
      <c r="W39" s="274">
        <v>300</v>
      </c>
      <c r="X39" s="274">
        <v>1200</v>
      </c>
      <c r="Y39" s="259">
        <f>W39*X39</f>
        <v>360000</v>
      </c>
      <c r="Z39" s="275"/>
      <c r="AA39" s="275"/>
      <c r="AB39" s="260">
        <f>Z39*AA39</f>
        <v>0</v>
      </c>
      <c r="AC39" s="260"/>
      <c r="AD39" s="260"/>
      <c r="AE39" s="419"/>
      <c r="AF39" s="419"/>
      <c r="AG39" s="260">
        <f>AE39*AF39</f>
        <v>0</v>
      </c>
      <c r="AH39" s="419"/>
      <c r="AI39" s="419"/>
      <c r="AJ39" s="260">
        <f>AH39*AI39</f>
        <v>0</v>
      </c>
      <c r="AK39" s="259">
        <v>50000</v>
      </c>
      <c r="AL39" s="259">
        <f>J39+S39+V39+Y39+AB39+AG39+AJ39+AK39+AC39+AD39</f>
        <v>480000</v>
      </c>
      <c r="AM39" s="415">
        <v>50000</v>
      </c>
      <c r="AN39" s="276"/>
      <c r="AO39" s="276"/>
      <c r="AP39" s="276"/>
      <c r="AQ39" s="276"/>
      <c r="AR39" s="262">
        <f>AL39-AM39-AN39-AO39-AP39-AQ39</f>
        <v>430000</v>
      </c>
    </row>
    <row r="40" spans="1:44" ht="30" customHeight="1">
      <c r="A40" s="922"/>
      <c r="B40" s="915"/>
      <c r="C40" s="916"/>
      <c r="D40" s="269" t="s">
        <v>707</v>
      </c>
      <c r="E40" s="269" t="s">
        <v>298</v>
      </c>
      <c r="F40" s="253"/>
      <c r="G40" s="270"/>
      <c r="H40" s="271"/>
      <c r="I40" s="271"/>
      <c r="J40" s="257">
        <f>G40*H40*I40</f>
        <v>0</v>
      </c>
      <c r="K40" s="272"/>
      <c r="L40" s="272"/>
      <c r="M40" s="272"/>
      <c r="N40" s="272"/>
      <c r="O40" s="272"/>
      <c r="P40" s="272"/>
      <c r="Q40" s="272"/>
      <c r="R40" s="272"/>
      <c r="S40" s="258">
        <f>(K40*L40*N40)+(K40*L40*M40*O40)+(K40*L40*M40*P40)+(K40*M40*Q40)+(K40*L40*R40)</f>
        <v>0</v>
      </c>
      <c r="T40" s="273">
        <v>100</v>
      </c>
      <c r="U40" s="273">
        <v>350</v>
      </c>
      <c r="V40" s="259">
        <f>T40*U40</f>
        <v>35000</v>
      </c>
      <c r="W40" s="274">
        <v>200</v>
      </c>
      <c r="X40" s="274">
        <v>1200</v>
      </c>
      <c r="Y40" s="259">
        <f>W40*X40</f>
        <v>240000</v>
      </c>
      <c r="Z40" s="275"/>
      <c r="AA40" s="275"/>
      <c r="AB40" s="260">
        <f>Z40*AA40</f>
        <v>0</v>
      </c>
      <c r="AC40" s="260"/>
      <c r="AD40" s="260"/>
      <c r="AE40" s="419"/>
      <c r="AF40" s="419"/>
      <c r="AG40" s="260">
        <f>AE40*AF40</f>
        <v>0</v>
      </c>
      <c r="AH40" s="419"/>
      <c r="AI40" s="419"/>
      <c r="AJ40" s="260">
        <f>AH40*AI40</f>
        <v>0</v>
      </c>
      <c r="AK40" s="259">
        <v>50000</v>
      </c>
      <c r="AL40" s="259">
        <f>J40+S40+V40+Y40+AB40+AG40+AJ40+AK40+AC40+AD40</f>
        <v>325000</v>
      </c>
      <c r="AM40" s="415">
        <v>30000</v>
      </c>
      <c r="AN40" s="276"/>
      <c r="AO40" s="276"/>
      <c r="AP40" s="276"/>
      <c r="AQ40" s="276"/>
      <c r="AR40" s="262">
        <f>AL40-AM40-AN40-AO40-AP40-AQ40</f>
        <v>295000</v>
      </c>
    </row>
    <row r="41" spans="1:44" ht="52.5" customHeight="1">
      <c r="A41" s="922"/>
      <c r="B41" s="209">
        <v>7.2</v>
      </c>
      <c r="C41" s="750" t="s">
        <v>271</v>
      </c>
      <c r="D41" s="269" t="s">
        <v>708</v>
      </c>
      <c r="E41" s="269" t="s">
        <v>299</v>
      </c>
      <c r="F41" s="253" t="s">
        <v>300</v>
      </c>
      <c r="G41" s="270"/>
      <c r="H41" s="271"/>
      <c r="I41" s="271"/>
      <c r="J41" s="257">
        <f>G41*H41*I41</f>
        <v>0</v>
      </c>
      <c r="K41" s="272"/>
      <c r="L41" s="272"/>
      <c r="M41" s="272"/>
      <c r="N41" s="272"/>
      <c r="O41" s="272"/>
      <c r="P41" s="272"/>
      <c r="Q41" s="272"/>
      <c r="R41" s="272"/>
      <c r="S41" s="258">
        <f>(K41*L41*N41)+(K41*L41*M41*O41)+(K41*L41*M41*P41)+(K41*M41*Q41)+(K41*L41*R41)</f>
        <v>0</v>
      </c>
      <c r="T41" s="273"/>
      <c r="U41" s="273"/>
      <c r="V41" s="259">
        <f>T41*U41</f>
        <v>0</v>
      </c>
      <c r="W41" s="274"/>
      <c r="X41" s="274"/>
      <c r="Y41" s="259">
        <f>W41*X41</f>
        <v>0</v>
      </c>
      <c r="Z41" s="275"/>
      <c r="AA41" s="275"/>
      <c r="AB41" s="260">
        <f>Z41*AA41</f>
        <v>0</v>
      </c>
      <c r="AC41" s="260"/>
      <c r="AD41" s="260"/>
      <c r="AE41" s="419"/>
      <c r="AF41" s="419"/>
      <c r="AG41" s="260">
        <f>AE41*AF41</f>
        <v>0</v>
      </c>
      <c r="AH41" s="419"/>
      <c r="AI41" s="419"/>
      <c r="AJ41" s="260">
        <f>AH41*AI41</f>
        <v>0</v>
      </c>
      <c r="AK41" s="259"/>
      <c r="AL41" s="259">
        <f>J41+S41+V41+Y41+AB41+AG41+AJ41+AK41+AC41+AD41</f>
        <v>0</v>
      </c>
      <c r="AM41" s="415"/>
      <c r="AN41" s="276"/>
      <c r="AO41" s="276"/>
      <c r="AP41" s="276"/>
      <c r="AQ41" s="276"/>
      <c r="AR41" s="262">
        <f>AL41-AM41-AN41-AO41-AP41-AQ41</f>
        <v>0</v>
      </c>
    </row>
    <row r="42" spans="1:45" s="515" customFormat="1" ht="63.75">
      <c r="A42" s="923"/>
      <c r="B42" s="209">
        <v>7.3</v>
      </c>
      <c r="C42" s="209" t="s">
        <v>272</v>
      </c>
      <c r="D42" s="504" t="s">
        <v>709</v>
      </c>
      <c r="E42" s="509" t="s">
        <v>301</v>
      </c>
      <c r="F42" s="510"/>
      <c r="G42" s="270"/>
      <c r="H42" s="271"/>
      <c r="I42" s="271"/>
      <c r="J42" s="511">
        <f>G42*H42*I42</f>
        <v>0</v>
      </c>
      <c r="K42" s="512"/>
      <c r="L42" s="512"/>
      <c r="M42" s="512"/>
      <c r="N42" s="512"/>
      <c r="O42" s="512"/>
      <c r="P42" s="512"/>
      <c r="Q42" s="512"/>
      <c r="R42" s="512"/>
      <c r="S42" s="505"/>
      <c r="T42" s="505"/>
      <c r="U42" s="505"/>
      <c r="V42" s="506">
        <f>T42*U42</f>
        <v>0</v>
      </c>
      <c r="W42" s="507"/>
      <c r="X42" s="507"/>
      <c r="Y42" s="506">
        <f>W42*X42</f>
        <v>0</v>
      </c>
      <c r="Z42" s="507"/>
      <c r="AA42" s="507"/>
      <c r="AB42" s="506">
        <f>Z42*AA42</f>
        <v>0</v>
      </c>
      <c r="AC42" s="506"/>
      <c r="AD42" s="506"/>
      <c r="AE42" s="604"/>
      <c r="AF42" s="604"/>
      <c r="AG42" s="506">
        <f>AE42*AF42</f>
        <v>0</v>
      </c>
      <c r="AH42" s="605"/>
      <c r="AI42" s="605"/>
      <c r="AJ42" s="506">
        <f>AH42*AI42</f>
        <v>0</v>
      </c>
      <c r="AK42" s="508">
        <v>5000</v>
      </c>
      <c r="AL42" s="506">
        <f>J42+S42+V42+Y42+AB42+AG42+AJ42+AK42+AC42+AD42</f>
        <v>5000</v>
      </c>
      <c r="AM42" s="513">
        <v>5000</v>
      </c>
      <c r="AN42" s="507"/>
      <c r="AO42" s="507"/>
      <c r="AP42" s="507"/>
      <c r="AQ42" s="507"/>
      <c r="AR42" s="262">
        <f>AL42-AM42-AN42-AO42-AP42-AQ42</f>
        <v>0</v>
      </c>
      <c r="AS42" s="514"/>
    </row>
    <row r="43" spans="1:44" ht="12.75">
      <c r="A43" s="430"/>
      <c r="B43" s="430"/>
      <c r="C43" s="430"/>
      <c r="D43" s="430"/>
      <c r="E43" s="430"/>
      <c r="F43" s="430"/>
      <c r="G43" s="430"/>
      <c r="H43" s="430"/>
      <c r="I43" s="430"/>
      <c r="J43" s="430"/>
      <c r="K43" s="430">
        <f aca="true" t="shared" si="13" ref="K43:AR43">SUM(K39:K42)</f>
        <v>0</v>
      </c>
      <c r="L43" s="430">
        <f t="shared" si="13"/>
        <v>0</v>
      </c>
      <c r="M43" s="430">
        <f t="shared" si="13"/>
        <v>0</v>
      </c>
      <c r="N43" s="430">
        <f t="shared" si="13"/>
        <v>0</v>
      </c>
      <c r="O43" s="430">
        <f t="shared" si="13"/>
        <v>0</v>
      </c>
      <c r="P43" s="430">
        <f t="shared" si="13"/>
        <v>0</v>
      </c>
      <c r="Q43" s="430">
        <f t="shared" si="13"/>
        <v>0</v>
      </c>
      <c r="R43" s="430">
        <f t="shared" si="13"/>
        <v>0</v>
      </c>
      <c r="S43" s="430">
        <f t="shared" si="13"/>
        <v>0</v>
      </c>
      <c r="T43" s="430"/>
      <c r="U43" s="430"/>
      <c r="V43" s="430">
        <f t="shared" si="13"/>
        <v>105000</v>
      </c>
      <c r="W43" s="430"/>
      <c r="X43" s="430"/>
      <c r="Y43" s="430">
        <f t="shared" si="13"/>
        <v>600000</v>
      </c>
      <c r="Z43" s="430">
        <f t="shared" si="13"/>
        <v>0</v>
      </c>
      <c r="AA43" s="430">
        <f t="shared" si="13"/>
        <v>0</v>
      </c>
      <c r="AB43" s="430">
        <f t="shared" si="13"/>
        <v>0</v>
      </c>
      <c r="AC43" s="430">
        <f t="shared" si="13"/>
        <v>0</v>
      </c>
      <c r="AD43" s="430">
        <f t="shared" si="13"/>
        <v>0</v>
      </c>
      <c r="AE43" s="430">
        <f t="shared" si="13"/>
        <v>0</v>
      </c>
      <c r="AF43" s="430">
        <f t="shared" si="13"/>
        <v>0</v>
      </c>
      <c r="AG43" s="430">
        <f t="shared" si="13"/>
        <v>0</v>
      </c>
      <c r="AH43" s="430">
        <f t="shared" si="13"/>
        <v>0</v>
      </c>
      <c r="AI43" s="430">
        <f t="shared" si="13"/>
        <v>0</v>
      </c>
      <c r="AJ43" s="430">
        <f t="shared" si="13"/>
        <v>0</v>
      </c>
      <c r="AK43" s="430">
        <f t="shared" si="13"/>
        <v>105000</v>
      </c>
      <c r="AL43" s="430">
        <f t="shared" si="13"/>
        <v>810000</v>
      </c>
      <c r="AM43" s="430">
        <f>SUM(AM39:AM42)</f>
        <v>85000</v>
      </c>
      <c r="AN43" s="430">
        <f t="shared" si="13"/>
        <v>0</v>
      </c>
      <c r="AO43" s="430">
        <f t="shared" si="13"/>
        <v>0</v>
      </c>
      <c r="AP43" s="430">
        <f t="shared" si="13"/>
        <v>0</v>
      </c>
      <c r="AQ43" s="430">
        <f t="shared" si="13"/>
        <v>0</v>
      </c>
      <c r="AR43" s="430">
        <f t="shared" si="13"/>
        <v>725000</v>
      </c>
    </row>
    <row r="44" spans="1:45" s="452" customFormat="1" ht="12.75">
      <c r="A44" s="444"/>
      <c r="B44" s="444"/>
      <c r="C44" s="445"/>
      <c r="D44" s="446"/>
      <c r="E44" s="612"/>
      <c r="F44" s="447"/>
      <c r="G44" s="448"/>
      <c r="H44" s="449"/>
      <c r="I44" s="449"/>
      <c r="J44" s="450">
        <f aca="true" t="shared" si="14" ref="J44:S44">J15+J37+J43</f>
        <v>0</v>
      </c>
      <c r="K44" s="450">
        <f t="shared" si="14"/>
        <v>0</v>
      </c>
      <c r="L44" s="450">
        <f t="shared" si="14"/>
        <v>0</v>
      </c>
      <c r="M44" s="450">
        <f t="shared" si="14"/>
        <v>0</v>
      </c>
      <c r="N44" s="450">
        <f t="shared" si="14"/>
        <v>0</v>
      </c>
      <c r="O44" s="450">
        <f t="shared" si="14"/>
        <v>0</v>
      </c>
      <c r="P44" s="450">
        <f t="shared" si="14"/>
        <v>0</v>
      </c>
      <c r="Q44" s="450">
        <f t="shared" si="14"/>
        <v>0</v>
      </c>
      <c r="R44" s="450">
        <f t="shared" si="14"/>
        <v>0</v>
      </c>
      <c r="S44" s="450">
        <f t="shared" si="14"/>
        <v>267375</v>
      </c>
      <c r="T44" s="450"/>
      <c r="U44" s="450"/>
      <c r="V44" s="450">
        <f>V15+V37+V43</f>
        <v>661050</v>
      </c>
      <c r="W44" s="450"/>
      <c r="X44" s="450"/>
      <c r="Y44" s="450">
        <f aca="true" t="shared" si="15" ref="Y44:AR44">Y15+Y37+Y43</f>
        <v>3374000</v>
      </c>
      <c r="Z44" s="450">
        <f t="shared" si="15"/>
        <v>0</v>
      </c>
      <c r="AA44" s="450">
        <f t="shared" si="15"/>
        <v>0</v>
      </c>
      <c r="AB44" s="450">
        <f t="shared" si="15"/>
        <v>20000</v>
      </c>
      <c r="AC44" s="450">
        <f t="shared" si="15"/>
        <v>0</v>
      </c>
      <c r="AD44" s="450">
        <f t="shared" si="15"/>
        <v>613000</v>
      </c>
      <c r="AE44" s="450">
        <f t="shared" si="15"/>
        <v>0</v>
      </c>
      <c r="AF44" s="450">
        <f t="shared" si="15"/>
        <v>0</v>
      </c>
      <c r="AG44" s="450">
        <f t="shared" si="15"/>
        <v>200000</v>
      </c>
      <c r="AH44" s="450">
        <f t="shared" si="15"/>
        <v>0</v>
      </c>
      <c r="AI44" s="450">
        <f t="shared" si="15"/>
        <v>0</v>
      </c>
      <c r="AJ44" s="450">
        <f t="shared" si="15"/>
        <v>0</v>
      </c>
      <c r="AK44" s="450">
        <f t="shared" si="15"/>
        <v>684000</v>
      </c>
      <c r="AL44" s="450">
        <f t="shared" si="15"/>
        <v>5819425</v>
      </c>
      <c r="AM44" s="450">
        <f t="shared" si="15"/>
        <v>405000</v>
      </c>
      <c r="AN44" s="450">
        <f t="shared" si="15"/>
        <v>1200000</v>
      </c>
      <c r="AO44" s="450">
        <f t="shared" si="15"/>
        <v>50000</v>
      </c>
      <c r="AP44" s="450">
        <f t="shared" si="15"/>
        <v>348000</v>
      </c>
      <c r="AQ44" s="450">
        <f t="shared" si="15"/>
        <v>0</v>
      </c>
      <c r="AR44" s="450">
        <f t="shared" si="15"/>
        <v>3816425</v>
      </c>
      <c r="AS44" s="451"/>
    </row>
    <row r="46" spans="38:39" ht="12.75">
      <c r="AL46" s="325">
        <f>J44+S44+V44+Y44+AB44+AD44+AG44+AK44</f>
        <v>5819425</v>
      </c>
      <c r="AM46" s="417">
        <f>AL44-AL46</f>
        <v>0</v>
      </c>
    </row>
    <row r="47" ht="12.75" customHeight="1"/>
  </sheetData>
  <sheetProtection/>
  <mergeCells count="46">
    <mergeCell ref="C39:C40"/>
    <mergeCell ref="AC3:AJ4"/>
    <mergeCell ref="Z4:AB5"/>
    <mergeCell ref="AK3:AK6"/>
    <mergeCell ref="T4:Y4"/>
    <mergeCell ref="AC5:AC6"/>
    <mergeCell ref="AD5:AD6"/>
    <mergeCell ref="A16:AR16"/>
    <mergeCell ref="B30:B31"/>
    <mergeCell ref="C18:C20"/>
    <mergeCell ref="B2:P2"/>
    <mergeCell ref="A3:E3"/>
    <mergeCell ref="G3:J3"/>
    <mergeCell ref="K3:AB3"/>
    <mergeCell ref="A4:A6"/>
    <mergeCell ref="B4:C6"/>
    <mergeCell ref="D4:E6"/>
    <mergeCell ref="G4:J5"/>
    <mergeCell ref="K4:S5"/>
    <mergeCell ref="F5:F6"/>
    <mergeCell ref="T5:V5"/>
    <mergeCell ref="AE5:AG5"/>
    <mergeCell ref="AH5:AJ5"/>
    <mergeCell ref="AM3:AR5"/>
    <mergeCell ref="W5:Y5"/>
    <mergeCell ref="AL3:AL6"/>
    <mergeCell ref="A39:A42"/>
    <mergeCell ref="A18:A35"/>
    <mergeCell ref="B18:B20"/>
    <mergeCell ref="B39:B40"/>
    <mergeCell ref="C30:C31"/>
    <mergeCell ref="C24:C27"/>
    <mergeCell ref="C32:C35"/>
    <mergeCell ref="B22:B23"/>
    <mergeCell ref="C22:C23"/>
    <mergeCell ref="B24:B27"/>
    <mergeCell ref="A38:AR38"/>
    <mergeCell ref="B28:B29"/>
    <mergeCell ref="C28:C29"/>
    <mergeCell ref="B32:B35"/>
    <mergeCell ref="A8:AR8"/>
    <mergeCell ref="A9:A14"/>
    <mergeCell ref="C13:C14"/>
    <mergeCell ref="B13:B14"/>
    <mergeCell ref="C9:C12"/>
    <mergeCell ref="B9:B12"/>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BB52"/>
  <sheetViews>
    <sheetView zoomScale="160" zoomScaleNormal="160" zoomScalePageLayoutView="0" workbookViewId="0" topLeftCell="D1">
      <selection activeCell="H3" sqref="H3:K3"/>
    </sheetView>
  </sheetViews>
  <sheetFormatPr defaultColWidth="9.28125" defaultRowHeight="16.5" customHeight="1"/>
  <cols>
    <col min="1" max="1" width="6.7109375" style="23" customWidth="1"/>
    <col min="2" max="2" width="15.421875" style="24" customWidth="1"/>
    <col min="3" max="3" width="4.7109375" style="3" customWidth="1"/>
    <col min="4" max="4" width="25.28125" style="62" customWidth="1"/>
    <col min="5" max="5" width="6.7109375" style="40" customWidth="1"/>
    <col min="6" max="6" width="19.7109375" style="10" customWidth="1"/>
    <col min="7" max="7" width="16.7109375" style="10" customWidth="1"/>
    <col min="8" max="8" width="5.7109375" style="41" customWidth="1"/>
    <col min="9" max="9" width="7.7109375" style="11" customWidth="1"/>
    <col min="10" max="10" width="7.28125" style="11" customWidth="1"/>
    <col min="11" max="11" width="9.7109375" style="41" customWidth="1"/>
    <col min="12" max="12" width="11.7109375" style="1" customWidth="1"/>
    <col min="13" max="13" width="9.57421875" style="1" customWidth="1"/>
    <col min="14" max="14" width="10.7109375" style="1" customWidth="1"/>
    <col min="15" max="15" width="11.7109375" style="1" customWidth="1"/>
    <col min="16" max="16" width="14.28125" style="1" customWidth="1"/>
    <col min="17" max="17" width="12.28125" style="1" customWidth="1"/>
    <col min="18" max="18" width="11.57421875" style="1" customWidth="1"/>
    <col min="19" max="19" width="12.7109375" style="1" customWidth="1"/>
    <col min="20" max="20" width="15.28125" style="36" customWidth="1"/>
    <col min="21" max="21" width="8.00390625" style="36" customWidth="1"/>
    <col min="22" max="22" width="8.57421875" style="36" customWidth="1"/>
    <col min="23" max="23" width="9.7109375" style="36" customWidth="1"/>
    <col min="24" max="24" width="14.00390625" style="35" customWidth="1"/>
    <col min="25" max="25" width="11.00390625" style="35" customWidth="1"/>
    <col min="26" max="26" width="10.28125" style="35" customWidth="1"/>
    <col min="27" max="27" width="9.28125" style="35" customWidth="1"/>
    <col min="28" max="28" width="10.28125" style="35" customWidth="1"/>
    <col min="29" max="29" width="8.28125" style="35" customWidth="1"/>
    <col min="30" max="31" width="15.28125" style="35" customWidth="1"/>
    <col min="32" max="32" width="7.28125" style="35" customWidth="1"/>
    <col min="33" max="33" width="13.28125" style="35" customWidth="1"/>
    <col min="34" max="34" width="9.28125" style="35" customWidth="1"/>
    <col min="35" max="35" width="6.7109375" style="35" customWidth="1"/>
    <col min="36" max="36" width="11.00390625" style="35" customWidth="1"/>
    <col min="37" max="37" width="10.7109375" style="35" customWidth="1"/>
    <col min="38" max="38" width="13.57421875" style="60" customWidth="1"/>
    <col min="39" max="39" width="10.57421875" style="35" customWidth="1"/>
    <col min="40" max="40" width="12.421875" style="35" customWidth="1"/>
    <col min="41" max="43" width="15.7109375" style="35" customWidth="1"/>
    <col min="44" max="44" width="10.28125" style="35" customWidth="1"/>
    <col min="45" max="45" width="12.28125" style="38" customWidth="1"/>
    <col min="46" max="46" width="3.7109375" style="3" customWidth="1"/>
    <col min="47" max="47" width="10.7109375" style="35" customWidth="1"/>
    <col min="48" max="48" width="12.00390625" style="35" customWidth="1"/>
    <col min="49" max="52" width="11.00390625" style="35" customWidth="1"/>
    <col min="53" max="53" width="12.28125" style="3" customWidth="1"/>
    <col min="54" max="54" width="2.28125" style="45" customWidth="1"/>
    <col min="55" max="16384" width="9.28125" style="3" customWidth="1"/>
  </cols>
  <sheetData>
    <row r="1" spans="1:52" s="45" customFormat="1" ht="16.5" customHeight="1">
      <c r="A1" s="55"/>
      <c r="B1" s="57"/>
      <c r="D1" s="61"/>
      <c r="E1" s="46"/>
      <c r="F1" s="47"/>
      <c r="G1" s="47"/>
      <c r="H1" s="48"/>
      <c r="I1" s="49"/>
      <c r="J1" s="49"/>
      <c r="K1" s="48"/>
      <c r="L1" s="50"/>
      <c r="M1" s="50"/>
      <c r="N1" s="50"/>
      <c r="O1" s="50"/>
      <c r="P1" s="50"/>
      <c r="Q1" s="50"/>
      <c r="R1" s="50"/>
      <c r="S1" s="50"/>
      <c r="T1" s="51"/>
      <c r="U1" s="51"/>
      <c r="V1" s="51"/>
      <c r="W1" s="51"/>
      <c r="X1" s="52"/>
      <c r="Y1" s="52"/>
      <c r="Z1" s="52"/>
      <c r="AA1" s="52"/>
      <c r="AB1" s="52"/>
      <c r="AC1" s="52"/>
      <c r="AD1" s="52"/>
      <c r="AE1" s="52"/>
      <c r="AF1" s="52"/>
      <c r="AG1" s="52"/>
      <c r="AH1" s="52"/>
      <c r="AI1" s="52"/>
      <c r="AJ1" s="52"/>
      <c r="AK1" s="52"/>
      <c r="AL1" s="59"/>
      <c r="AM1" s="52"/>
      <c r="AN1" s="52"/>
      <c r="AO1" s="52"/>
      <c r="AP1" s="52"/>
      <c r="AQ1" s="52"/>
      <c r="AR1" s="52"/>
      <c r="AS1" s="53"/>
      <c r="AU1" s="52"/>
      <c r="AV1" s="52"/>
      <c r="AW1" s="52"/>
      <c r="AX1" s="52"/>
      <c r="AY1" s="52"/>
      <c r="AZ1" s="52"/>
    </row>
    <row r="2" spans="1:52" s="45" customFormat="1" ht="16.5" customHeight="1" thickBot="1">
      <c r="A2" s="56"/>
      <c r="B2" s="1081" t="s">
        <v>308</v>
      </c>
      <c r="C2" s="1081"/>
      <c r="D2" s="1081"/>
      <c r="E2" s="1081"/>
      <c r="F2" s="1081"/>
      <c r="G2" s="1081"/>
      <c r="H2" s="1081"/>
      <c r="I2" s="1081"/>
      <c r="J2" s="1081"/>
      <c r="K2" s="1081"/>
      <c r="L2" s="1081"/>
      <c r="M2" s="1081"/>
      <c r="N2" s="1081"/>
      <c r="O2" s="1081"/>
      <c r="P2" s="1081"/>
      <c r="Q2" s="1081"/>
      <c r="R2" s="54"/>
      <c r="S2" s="54"/>
      <c r="T2" s="54"/>
      <c r="U2" s="54"/>
      <c r="V2" s="54"/>
      <c r="W2" s="54"/>
      <c r="X2" s="54"/>
      <c r="Y2" s="54"/>
      <c r="Z2" s="54"/>
      <c r="AA2" s="54"/>
      <c r="AB2" s="54"/>
      <c r="AC2" s="54"/>
      <c r="AD2" s="54"/>
      <c r="AE2" s="54"/>
      <c r="AF2" s="54"/>
      <c r="AG2" s="54"/>
      <c r="AH2" s="54"/>
      <c r="AI2" s="54"/>
      <c r="AJ2" s="54"/>
      <c r="AK2" s="54"/>
      <c r="AL2" s="54"/>
      <c r="AM2" s="52"/>
      <c r="AN2" s="52"/>
      <c r="AO2" s="52"/>
      <c r="AP2" s="52"/>
      <c r="AQ2" s="52"/>
      <c r="AR2" s="52"/>
      <c r="AS2" s="53"/>
      <c r="AU2" s="52"/>
      <c r="AV2" s="52"/>
      <c r="AW2" s="52"/>
      <c r="AX2" s="52"/>
      <c r="AY2" s="52"/>
      <c r="AZ2" s="52"/>
    </row>
    <row r="3" spans="1:54" s="67" customFormat="1" ht="39" customHeight="1">
      <c r="A3" s="1082"/>
      <c r="B3" s="1083"/>
      <c r="C3" s="1083"/>
      <c r="D3" s="1083"/>
      <c r="E3" s="1083"/>
      <c r="F3" s="1084"/>
      <c r="G3" s="656"/>
      <c r="H3" s="1085" t="s">
        <v>1244</v>
      </c>
      <c r="I3" s="1086"/>
      <c r="J3" s="1086"/>
      <c r="K3" s="1087"/>
      <c r="L3" s="1088" t="s">
        <v>710</v>
      </c>
      <c r="M3" s="1086"/>
      <c r="N3" s="1086"/>
      <c r="O3" s="1086"/>
      <c r="P3" s="1086"/>
      <c r="Q3" s="1086"/>
      <c r="R3" s="1086"/>
      <c r="S3" s="1086"/>
      <c r="T3" s="1086"/>
      <c r="U3" s="1086"/>
      <c r="V3" s="1086"/>
      <c r="W3" s="1086"/>
      <c r="X3" s="1086"/>
      <c r="Y3" s="1086"/>
      <c r="Z3" s="1086"/>
      <c r="AA3" s="1086"/>
      <c r="AB3" s="1086"/>
      <c r="AC3" s="1087"/>
      <c r="AD3" s="1044" t="s">
        <v>312</v>
      </c>
      <c r="AE3" s="1045"/>
      <c r="AF3" s="1045"/>
      <c r="AG3" s="1045"/>
      <c r="AH3" s="1045"/>
      <c r="AI3" s="1045"/>
      <c r="AJ3" s="1045"/>
      <c r="AK3" s="1046"/>
      <c r="AL3" s="1023" t="s">
        <v>711</v>
      </c>
      <c r="AM3" s="1023" t="s">
        <v>712</v>
      </c>
      <c r="AN3" s="1077" t="s">
        <v>713</v>
      </c>
      <c r="AO3" s="1077"/>
      <c r="AP3" s="1077"/>
      <c r="AQ3" s="1077"/>
      <c r="AR3" s="1077"/>
      <c r="AS3" s="1078"/>
      <c r="AU3" s="1059" t="s">
        <v>316</v>
      </c>
      <c r="AV3" s="1060"/>
      <c r="AW3" s="1060"/>
      <c r="AX3" s="1060"/>
      <c r="AY3" s="1060"/>
      <c r="AZ3" s="1060"/>
      <c r="BA3" s="1061"/>
      <c r="BB3" s="210"/>
    </row>
    <row r="4" spans="1:54" s="68" customFormat="1" ht="16.5" customHeight="1">
      <c r="A4" s="1089" t="s">
        <v>714</v>
      </c>
      <c r="B4" s="1050" t="s">
        <v>309</v>
      </c>
      <c r="C4" s="1053" t="s">
        <v>715</v>
      </c>
      <c r="D4" s="1054"/>
      <c r="E4" s="1053" t="s">
        <v>716</v>
      </c>
      <c r="F4" s="1054"/>
      <c r="G4" s="755"/>
      <c r="H4" s="1036" t="s">
        <v>717</v>
      </c>
      <c r="I4" s="1037"/>
      <c r="J4" s="1037"/>
      <c r="K4" s="1038"/>
      <c r="L4" s="1036" t="s">
        <v>718</v>
      </c>
      <c r="M4" s="1037"/>
      <c r="N4" s="1037"/>
      <c r="O4" s="1037"/>
      <c r="P4" s="1037"/>
      <c r="Q4" s="1037"/>
      <c r="R4" s="1037"/>
      <c r="S4" s="1037"/>
      <c r="T4" s="1038"/>
      <c r="U4" s="1026" t="s">
        <v>719</v>
      </c>
      <c r="V4" s="1027"/>
      <c r="W4" s="1027"/>
      <c r="X4" s="1027"/>
      <c r="Y4" s="1027"/>
      <c r="Z4" s="1028"/>
      <c r="AA4" s="1029" t="s">
        <v>720</v>
      </c>
      <c r="AB4" s="1030"/>
      <c r="AC4" s="1031"/>
      <c r="AD4" s="1047"/>
      <c r="AE4" s="1048"/>
      <c r="AF4" s="1048"/>
      <c r="AG4" s="1048"/>
      <c r="AH4" s="1048"/>
      <c r="AI4" s="1048"/>
      <c r="AJ4" s="1048"/>
      <c r="AK4" s="1049"/>
      <c r="AL4" s="1024"/>
      <c r="AM4" s="1024"/>
      <c r="AN4" s="1079"/>
      <c r="AO4" s="1079"/>
      <c r="AP4" s="1079"/>
      <c r="AQ4" s="1079"/>
      <c r="AR4" s="1079"/>
      <c r="AS4" s="1080"/>
      <c r="AU4" s="1062"/>
      <c r="AV4" s="1063"/>
      <c r="AW4" s="1063"/>
      <c r="AX4" s="1063"/>
      <c r="AY4" s="1063"/>
      <c r="AZ4" s="1063"/>
      <c r="BA4" s="1064"/>
      <c r="BB4" s="211"/>
    </row>
    <row r="5" spans="1:54" s="68" customFormat="1" ht="16.5" customHeight="1" thickBot="1">
      <c r="A5" s="1090"/>
      <c r="B5" s="1051"/>
      <c r="C5" s="1055"/>
      <c r="D5" s="1056"/>
      <c r="E5" s="1055"/>
      <c r="F5" s="1056"/>
      <c r="G5" s="1051" t="s">
        <v>721</v>
      </c>
      <c r="H5" s="1071"/>
      <c r="I5" s="1072"/>
      <c r="J5" s="1072"/>
      <c r="K5" s="1073"/>
      <c r="L5" s="1039"/>
      <c r="M5" s="1040"/>
      <c r="N5" s="1040"/>
      <c r="O5" s="1040"/>
      <c r="P5" s="1040"/>
      <c r="Q5" s="1040"/>
      <c r="R5" s="1040"/>
      <c r="S5" s="1040"/>
      <c r="T5" s="1041"/>
      <c r="U5" s="1026" t="s">
        <v>722</v>
      </c>
      <c r="V5" s="1027"/>
      <c r="W5" s="1028"/>
      <c r="X5" s="1026" t="s">
        <v>723</v>
      </c>
      <c r="Y5" s="1027"/>
      <c r="Z5" s="1028"/>
      <c r="AA5" s="1032"/>
      <c r="AB5" s="1033"/>
      <c r="AC5" s="1034"/>
      <c r="AD5" s="1042" t="s">
        <v>313</v>
      </c>
      <c r="AE5" s="1042" t="s">
        <v>724</v>
      </c>
      <c r="AF5" s="1026" t="s">
        <v>725</v>
      </c>
      <c r="AG5" s="1027"/>
      <c r="AH5" s="1028"/>
      <c r="AI5" s="1026" t="s">
        <v>726</v>
      </c>
      <c r="AJ5" s="1027"/>
      <c r="AK5" s="1028"/>
      <c r="AL5" s="1024"/>
      <c r="AM5" s="1024"/>
      <c r="AN5" s="1079"/>
      <c r="AO5" s="1079"/>
      <c r="AP5" s="1079"/>
      <c r="AQ5" s="1079"/>
      <c r="AR5" s="1079"/>
      <c r="AS5" s="1080"/>
      <c r="AU5" s="1065"/>
      <c r="AV5" s="1066"/>
      <c r="AW5" s="1066"/>
      <c r="AX5" s="1066"/>
      <c r="AY5" s="1066"/>
      <c r="AZ5" s="1066"/>
      <c r="BA5" s="1067"/>
      <c r="BB5" s="212"/>
    </row>
    <row r="6" spans="1:54" s="64" customFormat="1" ht="44.25" customHeight="1" thickBot="1">
      <c r="A6" s="1091"/>
      <c r="B6" s="1052"/>
      <c r="C6" s="1057"/>
      <c r="D6" s="1058"/>
      <c r="E6" s="1057"/>
      <c r="F6" s="1058"/>
      <c r="G6" s="1052"/>
      <c r="H6" s="753" t="s">
        <v>310</v>
      </c>
      <c r="I6" s="659" t="s">
        <v>727</v>
      </c>
      <c r="J6" s="659" t="s">
        <v>728</v>
      </c>
      <c r="K6" s="659" t="s">
        <v>729</v>
      </c>
      <c r="L6" s="659" t="s">
        <v>730</v>
      </c>
      <c r="M6" s="659" t="s">
        <v>731</v>
      </c>
      <c r="N6" s="659" t="s">
        <v>732</v>
      </c>
      <c r="O6" s="659" t="s">
        <v>733</v>
      </c>
      <c r="P6" s="659" t="s">
        <v>734</v>
      </c>
      <c r="Q6" s="659" t="s">
        <v>735</v>
      </c>
      <c r="R6" s="659" t="s">
        <v>736</v>
      </c>
      <c r="S6" s="659" t="s">
        <v>311</v>
      </c>
      <c r="T6" s="660" t="e">
        <f>(L6*M6*O6)+(L6*M6*N6*P6)+(L6*M6*N6*Q6)+(L6*N6*R6)+(L6*M6*S6)</f>
        <v>#VALUE!</v>
      </c>
      <c r="U6" s="659" t="s">
        <v>737</v>
      </c>
      <c r="V6" s="753" t="s">
        <v>0</v>
      </c>
      <c r="W6" s="753" t="s">
        <v>738</v>
      </c>
      <c r="X6" s="659" t="s">
        <v>739</v>
      </c>
      <c r="Y6" s="753" t="s">
        <v>740</v>
      </c>
      <c r="Z6" s="753" t="s">
        <v>741</v>
      </c>
      <c r="AA6" s="753" t="s">
        <v>742</v>
      </c>
      <c r="AB6" s="753" t="s">
        <v>743</v>
      </c>
      <c r="AC6" s="753" t="s">
        <v>744</v>
      </c>
      <c r="AD6" s="1043"/>
      <c r="AE6" s="1043"/>
      <c r="AF6" s="753" t="s">
        <v>745</v>
      </c>
      <c r="AG6" s="753" t="s">
        <v>314</v>
      </c>
      <c r="AH6" s="753" t="s">
        <v>746</v>
      </c>
      <c r="AI6" s="753" t="s">
        <v>747</v>
      </c>
      <c r="AJ6" s="753" t="s">
        <v>748</v>
      </c>
      <c r="AK6" s="753" t="s">
        <v>749</v>
      </c>
      <c r="AL6" s="1025"/>
      <c r="AM6" s="1025"/>
      <c r="AN6" s="752" t="s">
        <v>750</v>
      </c>
      <c r="AO6" s="359" t="s">
        <v>751</v>
      </c>
      <c r="AP6" s="359" t="s">
        <v>1242</v>
      </c>
      <c r="AQ6" s="359" t="s">
        <v>752</v>
      </c>
      <c r="AR6" s="359" t="s">
        <v>753</v>
      </c>
      <c r="AS6" s="63" t="s">
        <v>754</v>
      </c>
      <c r="AU6" s="65" t="s">
        <v>317</v>
      </c>
      <c r="AV6" s="752" t="s">
        <v>318</v>
      </c>
      <c r="AW6" s="164" t="s">
        <v>755</v>
      </c>
      <c r="AX6" s="348" t="s">
        <v>207</v>
      </c>
      <c r="AY6" s="348" t="s">
        <v>756</v>
      </c>
      <c r="AZ6" s="348" t="s">
        <v>757</v>
      </c>
      <c r="BA6" s="164" t="s">
        <v>758</v>
      </c>
      <c r="BB6" s="213"/>
    </row>
    <row r="7" spans="1:54" s="69" customFormat="1" ht="16.5" customHeight="1" thickBot="1">
      <c r="A7" s="661" t="s">
        <v>759</v>
      </c>
      <c r="B7" s="662" t="s">
        <v>6</v>
      </c>
      <c r="C7" s="663" t="s">
        <v>760</v>
      </c>
      <c r="D7" s="664" t="s">
        <v>761</v>
      </c>
      <c r="E7" s="663" t="s">
        <v>762</v>
      </c>
      <c r="F7" s="665" t="s">
        <v>763</v>
      </c>
      <c r="G7" s="665"/>
      <c r="H7" s="666">
        <v>1</v>
      </c>
      <c r="I7" s="666">
        <v>2</v>
      </c>
      <c r="J7" s="666">
        <v>3</v>
      </c>
      <c r="K7" s="666" t="s">
        <v>4</v>
      </c>
      <c r="L7" s="666">
        <v>11</v>
      </c>
      <c r="M7" s="666"/>
      <c r="N7" s="666">
        <v>12</v>
      </c>
      <c r="O7" s="666">
        <v>13</v>
      </c>
      <c r="P7" s="666">
        <v>14</v>
      </c>
      <c r="Q7" s="666">
        <v>15</v>
      </c>
      <c r="R7" s="666">
        <v>16</v>
      </c>
      <c r="S7" s="666"/>
      <c r="T7" s="660">
        <f aca="true" t="shared" si="0" ref="T7:T16">(L7*M7*O7)+(L7*M7*N7*P7)+(L7*M7*N7*Q7)+(L7*N7*R7)+(L7*M7*S7)</f>
        <v>2112</v>
      </c>
      <c r="U7" s="666">
        <v>14</v>
      </c>
      <c r="V7" s="666">
        <v>15</v>
      </c>
      <c r="W7" s="667">
        <v>16</v>
      </c>
      <c r="X7" s="666">
        <v>17</v>
      </c>
      <c r="Y7" s="666">
        <v>18</v>
      </c>
      <c r="Z7" s="667">
        <v>20</v>
      </c>
      <c r="AA7" s="666">
        <v>30</v>
      </c>
      <c r="AB7" s="666">
        <v>31</v>
      </c>
      <c r="AC7" s="666">
        <v>32</v>
      </c>
      <c r="AD7" s="666">
        <v>34</v>
      </c>
      <c r="AE7" s="666"/>
      <c r="AF7" s="666">
        <v>21</v>
      </c>
      <c r="AG7" s="666">
        <v>22</v>
      </c>
      <c r="AH7" s="666">
        <v>23</v>
      </c>
      <c r="AI7" s="666">
        <v>24</v>
      </c>
      <c r="AJ7" s="666">
        <v>25</v>
      </c>
      <c r="AK7" s="666">
        <v>26</v>
      </c>
      <c r="AL7" s="103">
        <v>41</v>
      </c>
      <c r="AM7" s="103">
        <v>42</v>
      </c>
      <c r="AN7" s="102">
        <v>43</v>
      </c>
      <c r="AO7" s="102">
        <v>44</v>
      </c>
      <c r="AP7" s="102"/>
      <c r="AQ7" s="102"/>
      <c r="AR7" s="102">
        <v>45</v>
      </c>
      <c r="AS7" s="104">
        <v>46</v>
      </c>
      <c r="AU7" s="105"/>
      <c r="AV7" s="105"/>
      <c r="AW7" s="106"/>
      <c r="AX7" s="106"/>
      <c r="AY7" s="106"/>
      <c r="AZ7" s="106"/>
      <c r="BA7" s="106"/>
      <c r="BB7" s="214"/>
    </row>
    <row r="8" spans="1:54" s="68" customFormat="1" ht="83.25" customHeight="1" thickBot="1">
      <c r="A8" s="1008">
        <v>1</v>
      </c>
      <c r="B8" s="1014" t="s">
        <v>319</v>
      </c>
      <c r="C8" s="1014">
        <v>1.1</v>
      </c>
      <c r="D8" s="1001" t="s">
        <v>320</v>
      </c>
      <c r="E8" s="107" t="s">
        <v>764</v>
      </c>
      <c r="F8" s="432" t="s">
        <v>325</v>
      </c>
      <c r="G8" s="107"/>
      <c r="H8" s="130"/>
      <c r="I8" s="131"/>
      <c r="J8" s="131"/>
      <c r="K8" s="132">
        <f aca="true" t="shared" si="1" ref="K8:K14">H8*I8*J8</f>
        <v>0</v>
      </c>
      <c r="L8" s="133"/>
      <c r="M8" s="133"/>
      <c r="N8" s="133"/>
      <c r="O8" s="133"/>
      <c r="P8" s="133"/>
      <c r="Q8" s="133"/>
      <c r="R8" s="133"/>
      <c r="S8" s="133"/>
      <c r="T8" s="70">
        <f t="shared" si="0"/>
        <v>0</v>
      </c>
      <c r="U8" s="71"/>
      <c r="V8" s="71"/>
      <c r="W8" s="70">
        <f aca="true" t="shared" si="2" ref="W8:W14">U8*V8</f>
        <v>0</v>
      </c>
      <c r="X8" s="71" t="s">
        <v>765</v>
      </c>
      <c r="Y8" s="71"/>
      <c r="Z8" s="70">
        <v>14242</v>
      </c>
      <c r="AA8" s="72"/>
      <c r="AB8" s="72"/>
      <c r="AC8" s="70">
        <f aca="true" t="shared" si="3" ref="AC8:AC14">AA8*AB8</f>
        <v>0</v>
      </c>
      <c r="AD8" s="70"/>
      <c r="AE8" s="70"/>
      <c r="AF8" s="91"/>
      <c r="AG8" s="91"/>
      <c r="AH8" s="70">
        <f aca="true" t="shared" si="4" ref="AH8:AH14">AF8*AG8</f>
        <v>0</v>
      </c>
      <c r="AI8" s="91"/>
      <c r="AJ8" s="91"/>
      <c r="AK8" s="70">
        <f aca="true" t="shared" si="5" ref="AK8:AK14">AI8*AJ8</f>
        <v>0</v>
      </c>
      <c r="AL8" s="70"/>
      <c r="AM8" s="70">
        <f>K8+T8+W8+Z8+AC8+AH8+AK8+AL8+AD8+AE8</f>
        <v>14242</v>
      </c>
      <c r="AN8" s="73"/>
      <c r="AO8" s="76">
        <v>14242</v>
      </c>
      <c r="AP8" s="90" t="s">
        <v>766</v>
      </c>
      <c r="AQ8" s="90"/>
      <c r="AR8" s="73"/>
      <c r="AS8" s="74">
        <f>AM8-AN8-AO8-AR8</f>
        <v>0</v>
      </c>
      <c r="AU8" s="983">
        <f>AM8+AM9</f>
        <v>119992</v>
      </c>
      <c r="AV8" s="983">
        <f>AN8+AN9</f>
        <v>35610</v>
      </c>
      <c r="AW8" s="983">
        <f>AO8+AO9</f>
        <v>84382</v>
      </c>
      <c r="AX8" s="983">
        <f>AR8+AR9</f>
        <v>0</v>
      </c>
      <c r="AY8" s="983">
        <f>AS8+AS9</f>
        <v>0</v>
      </c>
      <c r="AZ8" s="983">
        <f>AR8+AR9</f>
        <v>0</v>
      </c>
      <c r="BA8" s="983">
        <f>AU8-AV8-AW8</f>
        <v>0</v>
      </c>
      <c r="BB8" s="215"/>
    </row>
    <row r="9" spans="1:54" s="78" customFormat="1" ht="24.75" customHeight="1" thickBot="1">
      <c r="A9" s="1009"/>
      <c r="B9" s="1015"/>
      <c r="C9" s="1015"/>
      <c r="D9" s="1003"/>
      <c r="E9" s="108" t="s">
        <v>767</v>
      </c>
      <c r="F9" s="433" t="s">
        <v>326</v>
      </c>
      <c r="G9" s="108"/>
      <c r="H9" s="37"/>
      <c r="I9" s="2"/>
      <c r="J9" s="2"/>
      <c r="K9" s="170">
        <f t="shared" si="1"/>
        <v>0</v>
      </c>
      <c r="L9" s="8">
        <v>180</v>
      </c>
      <c r="M9" s="8">
        <v>3.5</v>
      </c>
      <c r="N9" s="8">
        <v>20</v>
      </c>
      <c r="O9" s="8">
        <v>0</v>
      </c>
      <c r="P9" s="8">
        <v>0</v>
      </c>
      <c r="Q9" s="8">
        <v>0</v>
      </c>
      <c r="R9" s="8">
        <v>18</v>
      </c>
      <c r="S9" s="8">
        <v>65</v>
      </c>
      <c r="T9" s="70">
        <f t="shared" si="0"/>
        <v>105750</v>
      </c>
      <c r="U9" s="39"/>
      <c r="V9" s="39"/>
      <c r="W9" s="58">
        <f t="shared" si="2"/>
        <v>0</v>
      </c>
      <c r="X9" s="39"/>
      <c r="Y9" s="39"/>
      <c r="Z9" s="58">
        <f aca="true" t="shared" si="6" ref="Z9:Z14">X9*Y9</f>
        <v>0</v>
      </c>
      <c r="AA9" s="42"/>
      <c r="AB9" s="42"/>
      <c r="AC9" s="58">
        <f t="shared" si="3"/>
        <v>0</v>
      </c>
      <c r="AD9" s="58"/>
      <c r="AE9" s="58"/>
      <c r="AF9" s="651"/>
      <c r="AG9" s="651"/>
      <c r="AH9" s="58">
        <f t="shared" si="4"/>
        <v>0</v>
      </c>
      <c r="AI9" s="651"/>
      <c r="AJ9" s="651"/>
      <c r="AK9" s="58">
        <f t="shared" si="5"/>
        <v>0</v>
      </c>
      <c r="AL9" s="58"/>
      <c r="AM9" s="70">
        <f aca="true" t="shared" si="7" ref="AM9:AM44">K9+T9+W9+Z9+AC9+AH9+AK9+AL9+AD9+AE9</f>
        <v>105750</v>
      </c>
      <c r="AN9" s="73">
        <v>35610</v>
      </c>
      <c r="AO9" s="76">
        <f>AM9-AN9</f>
        <v>70140</v>
      </c>
      <c r="AP9" s="76"/>
      <c r="AQ9" s="76"/>
      <c r="AR9" s="76"/>
      <c r="AS9" s="74">
        <f aca="true" t="shared" si="8" ref="AS9:AS44">AM9-AN9-AO9-AR9</f>
        <v>0</v>
      </c>
      <c r="AU9" s="984"/>
      <c r="AV9" s="984"/>
      <c r="AW9" s="984"/>
      <c r="AX9" s="984"/>
      <c r="AY9" s="984"/>
      <c r="AZ9" s="984"/>
      <c r="BA9" s="984"/>
      <c r="BB9" s="215"/>
    </row>
    <row r="10" spans="1:54" s="9" customFormat="1" ht="59.25" customHeight="1" thickBot="1">
      <c r="A10" s="1009"/>
      <c r="B10" s="1015"/>
      <c r="C10" s="160">
        <v>1.2</v>
      </c>
      <c r="D10" s="751" t="s">
        <v>321</v>
      </c>
      <c r="E10" s="107" t="s">
        <v>768</v>
      </c>
      <c r="F10" s="110" t="s">
        <v>327</v>
      </c>
      <c r="G10" s="107"/>
      <c r="H10" s="130"/>
      <c r="I10" s="131"/>
      <c r="J10" s="131"/>
      <c r="K10" s="132">
        <f t="shared" si="1"/>
        <v>0</v>
      </c>
      <c r="L10" s="133">
        <v>45</v>
      </c>
      <c r="M10" s="133">
        <v>2</v>
      </c>
      <c r="N10" s="133">
        <v>20</v>
      </c>
      <c r="O10" s="133">
        <v>0</v>
      </c>
      <c r="P10" s="133">
        <v>0</v>
      </c>
      <c r="Q10" s="133">
        <v>0</v>
      </c>
      <c r="R10" s="133">
        <v>18</v>
      </c>
      <c r="S10" s="133">
        <v>65</v>
      </c>
      <c r="T10" s="70">
        <f t="shared" si="0"/>
        <v>22050</v>
      </c>
      <c r="U10" s="71"/>
      <c r="V10" s="71"/>
      <c r="W10" s="70">
        <f t="shared" si="2"/>
        <v>0</v>
      </c>
      <c r="X10" s="71"/>
      <c r="Y10" s="71"/>
      <c r="Z10" s="70">
        <f t="shared" si="6"/>
        <v>0</v>
      </c>
      <c r="AA10" s="72"/>
      <c r="AB10" s="72"/>
      <c r="AC10" s="70">
        <f t="shared" si="3"/>
        <v>0</v>
      </c>
      <c r="AD10" s="70"/>
      <c r="AE10" s="70"/>
      <c r="AF10" s="91"/>
      <c r="AG10" s="91"/>
      <c r="AH10" s="70">
        <f t="shared" si="4"/>
        <v>0</v>
      </c>
      <c r="AI10" s="91"/>
      <c r="AJ10" s="91"/>
      <c r="AK10" s="70">
        <f t="shared" si="5"/>
        <v>0</v>
      </c>
      <c r="AL10" s="70"/>
      <c r="AM10" s="70">
        <f t="shared" si="7"/>
        <v>22050</v>
      </c>
      <c r="AN10" s="73">
        <f>AM10*0.67/2</f>
        <v>7386.75</v>
      </c>
      <c r="AO10" s="76">
        <f>AM10-AN10</f>
        <v>14663.25</v>
      </c>
      <c r="AP10" s="90"/>
      <c r="AQ10" s="90"/>
      <c r="AR10" s="73"/>
      <c r="AS10" s="74">
        <f t="shared" si="8"/>
        <v>0</v>
      </c>
      <c r="AU10" s="75">
        <f>AM10</f>
        <v>22050</v>
      </c>
      <c r="AV10" s="75">
        <f aca="true" t="shared" si="9" ref="AV10:AW12">AN10</f>
        <v>7386.75</v>
      </c>
      <c r="AW10" s="75">
        <f t="shared" si="9"/>
        <v>14663.25</v>
      </c>
      <c r="AX10" s="75">
        <f>AR10</f>
        <v>0</v>
      </c>
      <c r="AY10" s="75">
        <f>AS10</f>
        <v>0</v>
      </c>
      <c r="AZ10" s="75">
        <f aca="true" t="shared" si="10" ref="AZ10:BA12">AR10</f>
        <v>0</v>
      </c>
      <c r="BA10" s="75">
        <f t="shared" si="10"/>
        <v>0</v>
      </c>
      <c r="BB10" s="215"/>
    </row>
    <row r="11" spans="1:54" s="9" customFormat="1" ht="62.25" customHeight="1" thickBot="1">
      <c r="A11" s="1009"/>
      <c r="B11" s="1015"/>
      <c r="C11" s="160">
        <v>1.3</v>
      </c>
      <c r="D11" s="751" t="s">
        <v>322</v>
      </c>
      <c r="E11" s="107" t="s">
        <v>769</v>
      </c>
      <c r="F11" s="112" t="s">
        <v>328</v>
      </c>
      <c r="G11" s="107"/>
      <c r="H11" s="130"/>
      <c r="I11" s="131"/>
      <c r="J11" s="131"/>
      <c r="K11" s="132">
        <f t="shared" si="1"/>
        <v>0</v>
      </c>
      <c r="L11" s="133">
        <v>150</v>
      </c>
      <c r="M11" s="133">
        <v>2</v>
      </c>
      <c r="N11" s="133">
        <v>20</v>
      </c>
      <c r="O11" s="133">
        <v>0</v>
      </c>
      <c r="P11" s="133">
        <v>0</v>
      </c>
      <c r="Q11" s="133">
        <v>0</v>
      </c>
      <c r="R11" s="133">
        <v>10</v>
      </c>
      <c r="S11" s="133">
        <v>65</v>
      </c>
      <c r="T11" s="70">
        <f t="shared" si="0"/>
        <v>49500</v>
      </c>
      <c r="U11" s="71"/>
      <c r="V11" s="71"/>
      <c r="W11" s="70">
        <f t="shared" si="2"/>
        <v>0</v>
      </c>
      <c r="X11" s="71"/>
      <c r="Y11" s="71"/>
      <c r="Z11" s="70">
        <f t="shared" si="6"/>
        <v>0</v>
      </c>
      <c r="AA11" s="72"/>
      <c r="AB11" s="72"/>
      <c r="AC11" s="70">
        <f t="shared" si="3"/>
        <v>0</v>
      </c>
      <c r="AD11" s="70"/>
      <c r="AE11" s="70"/>
      <c r="AF11" s="91"/>
      <c r="AG11" s="91"/>
      <c r="AH11" s="70">
        <f t="shared" si="4"/>
        <v>0</v>
      </c>
      <c r="AI11" s="91"/>
      <c r="AJ11" s="91"/>
      <c r="AK11" s="70">
        <f t="shared" si="5"/>
        <v>0</v>
      </c>
      <c r="AL11" s="70"/>
      <c r="AM11" s="70">
        <f t="shared" si="7"/>
        <v>49500</v>
      </c>
      <c r="AN11" s="73"/>
      <c r="AO11" s="90">
        <f>AM11</f>
        <v>49500</v>
      </c>
      <c r="AP11" s="90"/>
      <c r="AQ11" s="90"/>
      <c r="AR11" s="73"/>
      <c r="AS11" s="74">
        <f t="shared" si="8"/>
        <v>0</v>
      </c>
      <c r="AU11" s="75">
        <f>AM11</f>
        <v>49500</v>
      </c>
      <c r="AV11" s="75">
        <f t="shared" si="9"/>
        <v>0</v>
      </c>
      <c r="AW11" s="75">
        <f t="shared" si="9"/>
        <v>49500</v>
      </c>
      <c r="AX11" s="75">
        <f>AP11</f>
        <v>0</v>
      </c>
      <c r="AY11" s="75">
        <f>AQ11</f>
        <v>0</v>
      </c>
      <c r="AZ11" s="75">
        <f t="shared" si="10"/>
        <v>0</v>
      </c>
      <c r="BA11" s="75">
        <f t="shared" si="10"/>
        <v>0</v>
      </c>
      <c r="BB11" s="215"/>
    </row>
    <row r="12" spans="1:54" s="68" customFormat="1" ht="45.75" thickBot="1">
      <c r="A12" s="1009"/>
      <c r="B12" s="1015"/>
      <c r="C12" s="160">
        <v>1.4</v>
      </c>
      <c r="D12" s="751" t="s">
        <v>323</v>
      </c>
      <c r="E12" s="107" t="s">
        <v>770</v>
      </c>
      <c r="F12" s="113" t="s">
        <v>329</v>
      </c>
      <c r="G12" s="107" t="s">
        <v>771</v>
      </c>
      <c r="H12" s="130"/>
      <c r="I12" s="131"/>
      <c r="J12" s="131"/>
      <c r="K12" s="132">
        <f t="shared" si="1"/>
        <v>0</v>
      </c>
      <c r="L12" s="133"/>
      <c r="M12" s="133"/>
      <c r="N12" s="133"/>
      <c r="O12" s="133"/>
      <c r="P12" s="133"/>
      <c r="Q12" s="133"/>
      <c r="R12" s="133"/>
      <c r="S12" s="133"/>
      <c r="T12" s="70">
        <f t="shared" si="0"/>
        <v>0</v>
      </c>
      <c r="U12" s="71"/>
      <c r="V12" s="71"/>
      <c r="W12" s="70">
        <f t="shared" si="2"/>
        <v>0</v>
      </c>
      <c r="X12" s="71"/>
      <c r="Y12" s="71"/>
      <c r="Z12" s="70">
        <f t="shared" si="6"/>
        <v>0</v>
      </c>
      <c r="AA12" s="72"/>
      <c r="AB12" s="72"/>
      <c r="AC12" s="70">
        <f t="shared" si="3"/>
        <v>0</v>
      </c>
      <c r="AD12" s="70"/>
      <c r="AE12" s="70"/>
      <c r="AF12" s="91"/>
      <c r="AG12" s="91"/>
      <c r="AH12" s="70">
        <f t="shared" si="4"/>
        <v>0</v>
      </c>
      <c r="AI12" s="91"/>
      <c r="AJ12" s="91"/>
      <c r="AK12" s="70">
        <f t="shared" si="5"/>
        <v>0</v>
      </c>
      <c r="AL12" s="70"/>
      <c r="AM12" s="70">
        <f t="shared" si="7"/>
        <v>0</v>
      </c>
      <c r="AN12" s="73"/>
      <c r="AO12" s="73"/>
      <c r="AP12" s="73"/>
      <c r="AQ12" s="73"/>
      <c r="AR12" s="73"/>
      <c r="AS12" s="74">
        <f t="shared" si="8"/>
        <v>0</v>
      </c>
      <c r="AU12" s="75">
        <f>AM12</f>
        <v>0</v>
      </c>
      <c r="AV12" s="75">
        <f t="shared" si="9"/>
        <v>0</v>
      </c>
      <c r="AW12" s="75">
        <f t="shared" si="9"/>
        <v>0</v>
      </c>
      <c r="AX12" s="75">
        <f>AP12</f>
        <v>0</v>
      </c>
      <c r="AY12" s="75">
        <f>AQ12</f>
        <v>0</v>
      </c>
      <c r="AZ12" s="75">
        <f t="shared" si="10"/>
        <v>0</v>
      </c>
      <c r="BA12" s="75">
        <f t="shared" si="10"/>
        <v>0</v>
      </c>
      <c r="BB12" s="215"/>
    </row>
    <row r="13" spans="1:54" s="68" customFormat="1" ht="45" customHeight="1" thickBot="1">
      <c r="A13" s="1009"/>
      <c r="B13" s="1015"/>
      <c r="C13" s="1014">
        <v>1.5</v>
      </c>
      <c r="D13" s="1001" t="s">
        <v>324</v>
      </c>
      <c r="E13" s="107" t="s">
        <v>47</v>
      </c>
      <c r="F13" s="758" t="s">
        <v>330</v>
      </c>
      <c r="G13" s="107" t="s">
        <v>772</v>
      </c>
      <c r="H13" s="130"/>
      <c r="I13" s="131"/>
      <c r="J13" s="131"/>
      <c r="K13" s="132">
        <f t="shared" si="1"/>
        <v>0</v>
      </c>
      <c r="L13" s="133"/>
      <c r="M13" s="133"/>
      <c r="N13" s="133"/>
      <c r="O13" s="133"/>
      <c r="P13" s="133"/>
      <c r="Q13" s="133"/>
      <c r="R13" s="133"/>
      <c r="S13" s="133"/>
      <c r="T13" s="70">
        <f t="shared" si="0"/>
        <v>0</v>
      </c>
      <c r="U13" s="71"/>
      <c r="V13" s="71"/>
      <c r="W13" s="70">
        <f t="shared" si="2"/>
        <v>0</v>
      </c>
      <c r="X13" s="71"/>
      <c r="Y13" s="71"/>
      <c r="Z13" s="70">
        <f t="shared" si="6"/>
        <v>0</v>
      </c>
      <c r="AA13" s="72"/>
      <c r="AB13" s="72"/>
      <c r="AC13" s="70">
        <f t="shared" si="3"/>
        <v>0</v>
      </c>
      <c r="AD13" s="70"/>
      <c r="AE13" s="70"/>
      <c r="AF13" s="91"/>
      <c r="AG13" s="91"/>
      <c r="AH13" s="70">
        <f t="shared" si="4"/>
        <v>0</v>
      </c>
      <c r="AI13" s="91"/>
      <c r="AJ13" s="91"/>
      <c r="AK13" s="70">
        <f t="shared" si="5"/>
        <v>0</v>
      </c>
      <c r="AL13" s="70"/>
      <c r="AM13" s="70">
        <f t="shared" si="7"/>
        <v>0</v>
      </c>
      <c r="AN13" s="73"/>
      <c r="AO13" s="73"/>
      <c r="AP13" s="73"/>
      <c r="AQ13" s="73"/>
      <c r="AR13" s="73"/>
      <c r="AS13" s="74">
        <f t="shared" si="8"/>
        <v>0</v>
      </c>
      <c r="AU13" s="983">
        <f aca="true" t="shared" si="11" ref="AU13:BA13">AM13+AM14</f>
        <v>27150</v>
      </c>
      <c r="AV13" s="983">
        <f t="shared" si="11"/>
        <v>0</v>
      </c>
      <c r="AW13" s="983">
        <f t="shared" si="11"/>
        <v>16180</v>
      </c>
      <c r="AX13" s="983">
        <f t="shared" si="11"/>
        <v>0</v>
      </c>
      <c r="AY13" s="983">
        <f t="shared" si="11"/>
        <v>0</v>
      </c>
      <c r="AZ13" s="983">
        <f t="shared" si="11"/>
        <v>0</v>
      </c>
      <c r="BA13" s="983">
        <f t="shared" si="11"/>
        <v>10970</v>
      </c>
      <c r="BB13" s="215"/>
    </row>
    <row r="14" spans="1:54" s="78" customFormat="1" ht="42" customHeight="1" thickBot="1">
      <c r="A14" s="1022"/>
      <c r="B14" s="1016"/>
      <c r="C14" s="1016"/>
      <c r="D14" s="1003"/>
      <c r="E14" s="111" t="s">
        <v>773</v>
      </c>
      <c r="F14" s="759" t="s">
        <v>331</v>
      </c>
      <c r="G14" s="111" t="s">
        <v>774</v>
      </c>
      <c r="H14" s="137"/>
      <c r="I14" s="141"/>
      <c r="J14" s="141"/>
      <c r="K14" s="187">
        <f t="shared" si="1"/>
        <v>0</v>
      </c>
      <c r="L14" s="139">
        <v>5</v>
      </c>
      <c r="M14" s="139">
        <v>2</v>
      </c>
      <c r="N14" s="139">
        <v>10</v>
      </c>
      <c r="O14" s="139">
        <v>0</v>
      </c>
      <c r="P14" s="139">
        <v>0</v>
      </c>
      <c r="Q14" s="139">
        <v>0</v>
      </c>
      <c r="R14" s="139">
        <v>10</v>
      </c>
      <c r="S14" s="139">
        <v>65</v>
      </c>
      <c r="T14" s="70">
        <f t="shared" si="0"/>
        <v>1150</v>
      </c>
      <c r="U14" s="84"/>
      <c r="V14" s="84"/>
      <c r="W14" s="66">
        <f t="shared" si="2"/>
        <v>0</v>
      </c>
      <c r="X14" s="84">
        <v>20</v>
      </c>
      <c r="Y14" s="84">
        <v>1200</v>
      </c>
      <c r="Z14" s="66">
        <f t="shared" si="6"/>
        <v>24000</v>
      </c>
      <c r="AA14" s="85"/>
      <c r="AB14" s="85"/>
      <c r="AC14" s="66">
        <f t="shared" si="3"/>
        <v>0</v>
      </c>
      <c r="AD14" s="66"/>
      <c r="AE14" s="66"/>
      <c r="AF14" s="655"/>
      <c r="AG14" s="655"/>
      <c r="AH14" s="66">
        <f t="shared" si="4"/>
        <v>0</v>
      </c>
      <c r="AI14" s="655"/>
      <c r="AJ14" s="655"/>
      <c r="AK14" s="66">
        <f t="shared" si="5"/>
        <v>0</v>
      </c>
      <c r="AL14" s="66">
        <v>2000</v>
      </c>
      <c r="AM14" s="70">
        <f t="shared" si="7"/>
        <v>27150</v>
      </c>
      <c r="AN14" s="83"/>
      <c r="AO14" s="83">
        <v>16180</v>
      </c>
      <c r="AP14" s="83"/>
      <c r="AQ14" s="83"/>
      <c r="AR14" s="83"/>
      <c r="AS14" s="74">
        <f t="shared" si="8"/>
        <v>10970</v>
      </c>
      <c r="AT14" s="86"/>
      <c r="AU14" s="987"/>
      <c r="AV14" s="987"/>
      <c r="AW14" s="987"/>
      <c r="AX14" s="987"/>
      <c r="AY14" s="987"/>
      <c r="AZ14" s="987"/>
      <c r="BA14" s="987"/>
      <c r="BB14" s="216"/>
    </row>
    <row r="15" spans="1:54" s="68" customFormat="1" ht="60" customHeight="1" thickBot="1">
      <c r="A15" s="1021">
        <v>2</v>
      </c>
      <c r="B15" s="1017" t="s">
        <v>332</v>
      </c>
      <c r="C15" s="1014">
        <v>2.1</v>
      </c>
      <c r="D15" s="1001" t="s">
        <v>333</v>
      </c>
      <c r="E15" s="107" t="s">
        <v>775</v>
      </c>
      <c r="F15" s="114" t="s">
        <v>1183</v>
      </c>
      <c r="G15" s="107" t="s">
        <v>776</v>
      </c>
      <c r="H15" s="130"/>
      <c r="I15" s="131"/>
      <c r="J15" s="131"/>
      <c r="K15" s="132">
        <f aca="true" t="shared" si="12" ref="K15:K27">H15*I15*J15</f>
        <v>0</v>
      </c>
      <c r="L15" s="133"/>
      <c r="M15" s="133"/>
      <c r="N15" s="133"/>
      <c r="O15" s="133"/>
      <c r="P15" s="133"/>
      <c r="Q15" s="133"/>
      <c r="R15" s="133"/>
      <c r="S15" s="133"/>
      <c r="T15" s="70">
        <f t="shared" si="0"/>
        <v>0</v>
      </c>
      <c r="U15" s="71"/>
      <c r="V15" s="71"/>
      <c r="W15" s="70">
        <f aca="true" t="shared" si="13" ref="W15:W26">U15*V15</f>
        <v>0</v>
      </c>
      <c r="X15" s="71"/>
      <c r="Y15" s="71"/>
      <c r="Z15" s="70">
        <v>32345</v>
      </c>
      <c r="AA15" s="72"/>
      <c r="AB15" s="72"/>
      <c r="AC15" s="70">
        <f aca="true" t="shared" si="14" ref="AC15:AC26">AA15*AB15</f>
        <v>0</v>
      </c>
      <c r="AD15" s="70"/>
      <c r="AE15" s="70"/>
      <c r="AF15" s="91"/>
      <c r="AG15" s="91"/>
      <c r="AH15" s="70">
        <f aca="true" t="shared" si="15" ref="AH15:AH26">AF15*AG15</f>
        <v>0</v>
      </c>
      <c r="AI15" s="91"/>
      <c r="AJ15" s="91"/>
      <c r="AK15" s="70">
        <f aca="true" t="shared" si="16" ref="AK15:AK26">AI15*AJ15</f>
        <v>0</v>
      </c>
      <c r="AL15" s="70"/>
      <c r="AM15" s="70">
        <f t="shared" si="7"/>
        <v>32345</v>
      </c>
      <c r="AN15" s="73">
        <f>AM15*0.67/2</f>
        <v>10835.575</v>
      </c>
      <c r="AO15" s="997">
        <f>25972+38718+26805+32345</f>
        <v>123840</v>
      </c>
      <c r="AP15" s="345"/>
      <c r="AQ15" s="345"/>
      <c r="AR15" s="997"/>
      <c r="AS15" s="1068">
        <f>(AM15+AM16+AM17)-(AN15+AN16+AN17+AO15)</f>
        <v>37733.59999999998</v>
      </c>
      <c r="AU15" s="983">
        <f aca="true" t="shared" si="17" ref="AU15:BA15">AM15+AM16+AM17</f>
        <v>271840</v>
      </c>
      <c r="AV15" s="983">
        <f t="shared" si="17"/>
        <v>110266.40000000001</v>
      </c>
      <c r="AW15" s="983">
        <f t="shared" si="17"/>
        <v>123840</v>
      </c>
      <c r="AX15" s="983">
        <f t="shared" si="17"/>
        <v>0</v>
      </c>
      <c r="AY15" s="983">
        <f t="shared" si="17"/>
        <v>0</v>
      </c>
      <c r="AZ15" s="983">
        <f t="shared" si="17"/>
        <v>0</v>
      </c>
      <c r="BA15" s="983">
        <f t="shared" si="17"/>
        <v>37733.59999999998</v>
      </c>
      <c r="BB15" s="215"/>
    </row>
    <row r="16" spans="1:54" s="68" customFormat="1" ht="47.25" customHeight="1" thickBot="1">
      <c r="A16" s="1021"/>
      <c r="B16" s="1017"/>
      <c r="C16" s="1015"/>
      <c r="D16" s="1002"/>
      <c r="E16" s="115" t="s">
        <v>777</v>
      </c>
      <c r="F16" s="116" t="s">
        <v>337</v>
      </c>
      <c r="G16" s="115"/>
      <c r="H16" s="134"/>
      <c r="I16" s="135"/>
      <c r="J16" s="135"/>
      <c r="K16" s="192">
        <f t="shared" si="12"/>
        <v>0</v>
      </c>
      <c r="L16" s="143">
        <v>60</v>
      </c>
      <c r="M16" s="143">
        <v>10</v>
      </c>
      <c r="N16" s="143">
        <v>20</v>
      </c>
      <c r="O16" s="143">
        <v>0</v>
      </c>
      <c r="P16" s="143">
        <v>0</v>
      </c>
      <c r="Q16" s="143">
        <v>0</v>
      </c>
      <c r="R16" s="143">
        <v>50</v>
      </c>
      <c r="S16" s="143">
        <v>65</v>
      </c>
      <c r="T16" s="70">
        <f t="shared" si="0"/>
        <v>99000</v>
      </c>
      <c r="U16" s="87"/>
      <c r="V16" s="87"/>
      <c r="W16" s="88"/>
      <c r="X16" s="87"/>
      <c r="Y16" s="87"/>
      <c r="Z16" s="88"/>
      <c r="AA16" s="89"/>
      <c r="AB16" s="89"/>
      <c r="AC16" s="88"/>
      <c r="AD16" s="88"/>
      <c r="AE16" s="88"/>
      <c r="AF16" s="648"/>
      <c r="AG16" s="648"/>
      <c r="AH16" s="88"/>
      <c r="AI16" s="648"/>
      <c r="AJ16" s="648"/>
      <c r="AK16" s="88"/>
      <c r="AL16" s="88">
        <v>1000</v>
      </c>
      <c r="AM16" s="70">
        <f t="shared" si="7"/>
        <v>100000</v>
      </c>
      <c r="AN16" s="73">
        <f>AM16*0.67/2</f>
        <v>33500</v>
      </c>
      <c r="AO16" s="998"/>
      <c r="AP16" s="346"/>
      <c r="AQ16" s="346"/>
      <c r="AR16" s="998"/>
      <c r="AS16" s="1069"/>
      <c r="AU16" s="986"/>
      <c r="AV16" s="986"/>
      <c r="AW16" s="986"/>
      <c r="AX16" s="986"/>
      <c r="AY16" s="986"/>
      <c r="AZ16" s="986"/>
      <c r="BA16" s="986"/>
      <c r="BB16" s="215"/>
    </row>
    <row r="17" spans="1:54" s="78" customFormat="1" ht="48" customHeight="1" thickBot="1">
      <c r="A17" s="1021"/>
      <c r="B17" s="1017"/>
      <c r="C17" s="1015"/>
      <c r="D17" s="1002"/>
      <c r="E17" s="108" t="s">
        <v>49</v>
      </c>
      <c r="F17" s="128" t="s">
        <v>338</v>
      </c>
      <c r="G17" s="108" t="s">
        <v>348</v>
      </c>
      <c r="H17" s="37">
        <v>2</v>
      </c>
      <c r="I17" s="2">
        <v>400</v>
      </c>
      <c r="J17" s="2">
        <v>60</v>
      </c>
      <c r="K17" s="170">
        <f t="shared" si="12"/>
        <v>48000</v>
      </c>
      <c r="L17" s="8">
        <v>20</v>
      </c>
      <c r="M17" s="8">
        <v>5</v>
      </c>
      <c r="N17" s="8">
        <v>20</v>
      </c>
      <c r="O17" s="101">
        <v>100</v>
      </c>
      <c r="P17" s="101">
        <v>12</v>
      </c>
      <c r="Q17" s="101">
        <v>20</v>
      </c>
      <c r="R17" s="8">
        <v>25</v>
      </c>
      <c r="S17" s="8">
        <v>65</v>
      </c>
      <c r="T17" s="70">
        <f>(L17*M17*O17)+(L17*M17*N17*P17)+(L17*M17*N17*Q17)+(L17*N17*R17)+(L17*M17*S17)</f>
        <v>90500</v>
      </c>
      <c r="U17" s="39"/>
      <c r="V17" s="39"/>
      <c r="W17" s="58">
        <f t="shared" si="13"/>
        <v>0</v>
      </c>
      <c r="X17" s="39"/>
      <c r="Y17" s="39"/>
      <c r="Z17" s="58">
        <f aca="true" t="shared" si="18" ref="Z17:Z26">X17*Y17</f>
        <v>0</v>
      </c>
      <c r="AA17" s="42"/>
      <c r="AB17" s="42"/>
      <c r="AC17" s="58">
        <f t="shared" si="14"/>
        <v>0</v>
      </c>
      <c r="AD17" s="58"/>
      <c r="AE17" s="58"/>
      <c r="AF17" s="651"/>
      <c r="AG17" s="651"/>
      <c r="AH17" s="58">
        <f t="shared" si="15"/>
        <v>0</v>
      </c>
      <c r="AI17" s="651"/>
      <c r="AJ17" s="651"/>
      <c r="AK17" s="58">
        <f t="shared" si="16"/>
        <v>0</v>
      </c>
      <c r="AL17" s="58">
        <v>995</v>
      </c>
      <c r="AM17" s="70">
        <f t="shared" si="7"/>
        <v>139495</v>
      </c>
      <c r="AN17" s="73">
        <f>(AM17*0.67/2)+19200</f>
        <v>65930.82500000001</v>
      </c>
      <c r="AO17" s="999"/>
      <c r="AP17" s="347"/>
      <c r="AQ17" s="347"/>
      <c r="AR17" s="999"/>
      <c r="AS17" s="1070"/>
      <c r="AU17" s="984"/>
      <c r="AV17" s="984"/>
      <c r="AW17" s="984"/>
      <c r="AX17" s="984"/>
      <c r="AY17" s="984"/>
      <c r="AZ17" s="984"/>
      <c r="BA17" s="984"/>
      <c r="BB17" s="215"/>
    </row>
    <row r="18" spans="1:54" s="9" customFormat="1" ht="57" customHeight="1" thickBot="1">
      <c r="A18" s="1021"/>
      <c r="B18" s="1017"/>
      <c r="C18" s="1014">
        <v>2.2</v>
      </c>
      <c r="D18" s="1001" t="s">
        <v>334</v>
      </c>
      <c r="E18" s="107" t="s">
        <v>778</v>
      </c>
      <c r="F18" s="760" t="s">
        <v>339</v>
      </c>
      <c r="G18" s="107" t="s">
        <v>779</v>
      </c>
      <c r="H18" s="130"/>
      <c r="I18" s="131"/>
      <c r="J18" s="131"/>
      <c r="K18" s="132">
        <f t="shared" si="12"/>
        <v>0</v>
      </c>
      <c r="L18" s="133"/>
      <c r="M18" s="133"/>
      <c r="N18" s="133"/>
      <c r="O18" s="133"/>
      <c r="P18" s="133"/>
      <c r="Q18" s="133"/>
      <c r="R18" s="133"/>
      <c r="S18" s="133"/>
      <c r="T18" s="70">
        <f aca="true" t="shared" si="19" ref="T18:T44">(L18*M18*O18)+(L18*M18*N18*P18)+(L18*M18*N18*Q18)+(L18*N18*R18)+(L18*M18*S18)</f>
        <v>0</v>
      </c>
      <c r="U18" s="91">
        <v>57</v>
      </c>
      <c r="V18" s="91">
        <v>90</v>
      </c>
      <c r="W18" s="70">
        <f t="shared" si="13"/>
        <v>5130</v>
      </c>
      <c r="X18" s="71"/>
      <c r="Y18" s="71"/>
      <c r="Z18" s="70">
        <f t="shared" si="18"/>
        <v>0</v>
      </c>
      <c r="AA18" s="72"/>
      <c r="AB18" s="72"/>
      <c r="AC18" s="70">
        <f t="shared" si="14"/>
        <v>0</v>
      </c>
      <c r="AD18" s="70"/>
      <c r="AE18" s="70"/>
      <c r="AF18" s="91"/>
      <c r="AG18" s="91"/>
      <c r="AH18" s="70">
        <f t="shared" si="15"/>
        <v>0</v>
      </c>
      <c r="AI18" s="91"/>
      <c r="AJ18" s="91"/>
      <c r="AK18" s="70">
        <f t="shared" si="16"/>
        <v>0</v>
      </c>
      <c r="AL18" s="70"/>
      <c r="AM18" s="70">
        <f t="shared" si="7"/>
        <v>5130</v>
      </c>
      <c r="AN18" s="73">
        <f>AM18*0.67/2</f>
        <v>1718.5500000000002</v>
      </c>
      <c r="AO18" s="997">
        <f>11010+148069</f>
        <v>159079</v>
      </c>
      <c r="AP18" s="345"/>
      <c r="AQ18" s="345"/>
      <c r="AR18" s="73"/>
      <c r="AS18" s="1074">
        <f>AM18+AM19+AM20-AN18-AN19-AN20-AO18</f>
        <v>-53291.465</v>
      </c>
      <c r="AU18" s="983">
        <f aca="true" t="shared" si="20" ref="AU18:BA18">AM18+AM19+AM20</f>
        <v>159079</v>
      </c>
      <c r="AV18" s="983">
        <f t="shared" si="20"/>
        <v>53291.465</v>
      </c>
      <c r="AW18" s="983">
        <f t="shared" si="20"/>
        <v>159079</v>
      </c>
      <c r="AX18" s="983">
        <f t="shared" si="20"/>
        <v>0</v>
      </c>
      <c r="AY18" s="983">
        <f t="shared" si="20"/>
        <v>0</v>
      </c>
      <c r="AZ18" s="983">
        <f t="shared" si="20"/>
        <v>0</v>
      </c>
      <c r="BA18" s="983">
        <f t="shared" si="20"/>
        <v>-53291.465</v>
      </c>
      <c r="BB18" s="215"/>
    </row>
    <row r="19" spans="1:54" s="9" customFormat="1" ht="37.5" customHeight="1" thickBot="1">
      <c r="A19" s="1021"/>
      <c r="B19" s="1017"/>
      <c r="C19" s="1015"/>
      <c r="D19" s="1002"/>
      <c r="E19" s="108" t="s">
        <v>21</v>
      </c>
      <c r="F19" s="116" t="s">
        <v>340</v>
      </c>
      <c r="G19" s="107" t="s">
        <v>780</v>
      </c>
      <c r="H19" s="37"/>
      <c r="I19" s="2"/>
      <c r="J19" s="2"/>
      <c r="K19" s="170">
        <f t="shared" si="12"/>
        <v>0</v>
      </c>
      <c r="L19" s="8">
        <v>7</v>
      </c>
      <c r="M19" s="8">
        <v>47</v>
      </c>
      <c r="N19" s="8">
        <v>20</v>
      </c>
      <c r="O19" s="8">
        <v>0</v>
      </c>
      <c r="P19" s="8">
        <v>0</v>
      </c>
      <c r="Q19" s="8">
        <v>0</v>
      </c>
      <c r="R19" s="8">
        <v>235</v>
      </c>
      <c r="S19" s="8">
        <v>65</v>
      </c>
      <c r="T19" s="70">
        <f t="shared" si="19"/>
        <v>54285</v>
      </c>
      <c r="U19" s="39"/>
      <c r="V19" s="39"/>
      <c r="W19" s="58">
        <f t="shared" si="13"/>
        <v>0</v>
      </c>
      <c r="X19" s="39"/>
      <c r="Y19" s="39"/>
      <c r="Z19" s="58">
        <f t="shared" si="18"/>
        <v>0</v>
      </c>
      <c r="AA19" s="42"/>
      <c r="AB19" s="42"/>
      <c r="AC19" s="58">
        <f t="shared" si="14"/>
        <v>0</v>
      </c>
      <c r="AD19" s="58"/>
      <c r="AE19" s="58"/>
      <c r="AF19" s="651"/>
      <c r="AG19" s="651"/>
      <c r="AH19" s="58">
        <f t="shared" si="15"/>
        <v>0</v>
      </c>
      <c r="AI19" s="651"/>
      <c r="AJ19" s="651"/>
      <c r="AK19" s="58">
        <f t="shared" si="16"/>
        <v>0</v>
      </c>
      <c r="AL19" s="58">
        <v>20464</v>
      </c>
      <c r="AM19" s="70">
        <f t="shared" si="7"/>
        <v>74749</v>
      </c>
      <c r="AN19" s="73">
        <f>AM19*0.67/2</f>
        <v>25040.915</v>
      </c>
      <c r="AO19" s="998"/>
      <c r="AP19" s="346"/>
      <c r="AQ19" s="346"/>
      <c r="AR19" s="76"/>
      <c r="AS19" s="1075"/>
      <c r="AU19" s="986"/>
      <c r="AV19" s="986"/>
      <c r="AW19" s="986"/>
      <c r="AX19" s="986"/>
      <c r="AY19" s="986"/>
      <c r="AZ19" s="986"/>
      <c r="BA19" s="986"/>
      <c r="BB19" s="215"/>
    </row>
    <row r="20" spans="1:54" s="9" customFormat="1" ht="39.75" customHeight="1" thickBot="1">
      <c r="A20" s="1021"/>
      <c r="B20" s="1017"/>
      <c r="C20" s="1016"/>
      <c r="D20" s="1003"/>
      <c r="E20" s="111" t="s">
        <v>781</v>
      </c>
      <c r="F20" s="109" t="s">
        <v>341</v>
      </c>
      <c r="G20" s="107" t="s">
        <v>782</v>
      </c>
      <c r="H20" s="137"/>
      <c r="I20" s="138"/>
      <c r="J20" s="138"/>
      <c r="K20" s="187">
        <f t="shared" si="12"/>
        <v>0</v>
      </c>
      <c r="L20" s="139">
        <v>48</v>
      </c>
      <c r="M20" s="140">
        <v>10</v>
      </c>
      <c r="N20" s="142">
        <v>20</v>
      </c>
      <c r="O20" s="79">
        <v>0</v>
      </c>
      <c r="P20" s="79">
        <v>0</v>
      </c>
      <c r="Q20" s="79">
        <v>0</v>
      </c>
      <c r="R20" s="142">
        <v>50</v>
      </c>
      <c r="S20" s="142">
        <v>65</v>
      </c>
      <c r="T20" s="70">
        <f t="shared" si="19"/>
        <v>79200</v>
      </c>
      <c r="U20" s="79"/>
      <c r="V20" s="79"/>
      <c r="W20" s="66">
        <f t="shared" si="13"/>
        <v>0</v>
      </c>
      <c r="X20" s="79"/>
      <c r="Y20" s="79"/>
      <c r="Z20" s="66">
        <f t="shared" si="18"/>
        <v>0</v>
      </c>
      <c r="AA20" s="80"/>
      <c r="AB20" s="80"/>
      <c r="AC20" s="66">
        <f t="shared" si="14"/>
        <v>0</v>
      </c>
      <c r="AD20" s="81"/>
      <c r="AE20" s="81"/>
      <c r="AF20" s="650"/>
      <c r="AG20" s="650"/>
      <c r="AH20" s="66">
        <f t="shared" si="15"/>
        <v>0</v>
      </c>
      <c r="AI20" s="650"/>
      <c r="AJ20" s="650"/>
      <c r="AK20" s="66">
        <f t="shared" si="16"/>
        <v>0</v>
      </c>
      <c r="AL20" s="82"/>
      <c r="AM20" s="70">
        <f t="shared" si="7"/>
        <v>79200</v>
      </c>
      <c r="AN20" s="73">
        <f>AM20*0.67/2</f>
        <v>26532</v>
      </c>
      <c r="AO20" s="999"/>
      <c r="AP20" s="347"/>
      <c r="AQ20" s="347"/>
      <c r="AR20" s="83"/>
      <c r="AS20" s="1076"/>
      <c r="AU20" s="984"/>
      <c r="AV20" s="984"/>
      <c r="AW20" s="984"/>
      <c r="AX20" s="984"/>
      <c r="AY20" s="984"/>
      <c r="AZ20" s="984"/>
      <c r="BA20" s="984"/>
      <c r="BB20" s="215"/>
    </row>
    <row r="21" spans="1:54" s="9" customFormat="1" ht="34.5" customHeight="1" thickBot="1">
      <c r="A21" s="1021"/>
      <c r="B21" s="1017"/>
      <c r="C21" s="1014">
        <v>2.3</v>
      </c>
      <c r="D21" s="1001" t="s">
        <v>335</v>
      </c>
      <c r="E21" s="107" t="s">
        <v>783</v>
      </c>
      <c r="F21" s="117" t="s">
        <v>342</v>
      </c>
      <c r="G21" s="107" t="s">
        <v>784</v>
      </c>
      <c r="H21" s="130"/>
      <c r="I21" s="131"/>
      <c r="J21" s="131"/>
      <c r="K21" s="132">
        <f t="shared" si="12"/>
        <v>0</v>
      </c>
      <c r="L21" s="133"/>
      <c r="M21" s="133"/>
      <c r="N21" s="133"/>
      <c r="O21" s="133"/>
      <c r="P21" s="133"/>
      <c r="Q21" s="133"/>
      <c r="R21" s="133"/>
      <c r="S21" s="133"/>
      <c r="T21" s="70">
        <f t="shared" si="19"/>
        <v>0</v>
      </c>
      <c r="U21" s="71"/>
      <c r="V21" s="71"/>
      <c r="W21" s="70">
        <f t="shared" si="13"/>
        <v>0</v>
      </c>
      <c r="X21" s="71"/>
      <c r="Y21" s="71"/>
      <c r="Z21" s="70">
        <f t="shared" si="18"/>
        <v>0</v>
      </c>
      <c r="AA21" s="72"/>
      <c r="AB21" s="72"/>
      <c r="AC21" s="70">
        <f t="shared" si="14"/>
        <v>0</v>
      </c>
      <c r="AD21" s="70"/>
      <c r="AE21" s="70"/>
      <c r="AF21" s="91"/>
      <c r="AG21" s="91"/>
      <c r="AH21" s="70">
        <f t="shared" si="15"/>
        <v>0</v>
      </c>
      <c r="AI21" s="91"/>
      <c r="AJ21" s="91"/>
      <c r="AK21" s="70">
        <f t="shared" si="16"/>
        <v>0</v>
      </c>
      <c r="AL21" s="70"/>
      <c r="AM21" s="70">
        <f t="shared" si="7"/>
        <v>0</v>
      </c>
      <c r="AN21" s="73"/>
      <c r="AO21" s="73"/>
      <c r="AP21" s="73"/>
      <c r="AQ21" s="73"/>
      <c r="AR21" s="73"/>
      <c r="AS21" s="74">
        <f t="shared" si="8"/>
        <v>0</v>
      </c>
      <c r="AU21" s="983">
        <f aca="true" t="shared" si="21" ref="AU21:BA21">AM21+AM22</f>
        <v>6900</v>
      </c>
      <c r="AV21" s="983">
        <f t="shared" si="21"/>
        <v>2311.5</v>
      </c>
      <c r="AW21" s="983">
        <f t="shared" si="21"/>
        <v>0</v>
      </c>
      <c r="AX21" s="983">
        <f t="shared" si="21"/>
        <v>0</v>
      </c>
      <c r="AY21" s="983">
        <f t="shared" si="21"/>
        <v>0</v>
      </c>
      <c r="AZ21" s="983">
        <f t="shared" si="21"/>
        <v>0</v>
      </c>
      <c r="BA21" s="983">
        <f t="shared" si="21"/>
        <v>4588.5</v>
      </c>
      <c r="BB21" s="215"/>
    </row>
    <row r="22" spans="1:54" s="9" customFormat="1" ht="55.5" customHeight="1" thickBot="1">
      <c r="A22" s="1021"/>
      <c r="B22" s="1017"/>
      <c r="C22" s="1015"/>
      <c r="D22" s="1002"/>
      <c r="E22" s="108" t="s">
        <v>785</v>
      </c>
      <c r="F22" s="108" t="s">
        <v>343</v>
      </c>
      <c r="G22" s="108"/>
      <c r="H22" s="37"/>
      <c r="I22" s="2"/>
      <c r="J22" s="2"/>
      <c r="K22" s="170">
        <f t="shared" si="12"/>
        <v>0</v>
      </c>
      <c r="L22" s="8"/>
      <c r="M22" s="8"/>
      <c r="N22" s="8"/>
      <c r="O22" s="8"/>
      <c r="P22" s="8"/>
      <c r="Q22" s="8"/>
      <c r="R22" s="8"/>
      <c r="S22" s="8"/>
      <c r="T22" s="70">
        <f t="shared" si="19"/>
        <v>0</v>
      </c>
      <c r="U22" s="39"/>
      <c r="V22" s="39"/>
      <c r="W22" s="58">
        <f t="shared" si="13"/>
        <v>0</v>
      </c>
      <c r="X22" s="39"/>
      <c r="Y22" s="39"/>
      <c r="Z22" s="58">
        <f t="shared" si="18"/>
        <v>0</v>
      </c>
      <c r="AA22" s="42"/>
      <c r="AB22" s="42"/>
      <c r="AC22" s="58">
        <f t="shared" si="14"/>
        <v>0</v>
      </c>
      <c r="AD22" s="58"/>
      <c r="AE22" s="58"/>
      <c r="AF22" s="651"/>
      <c r="AG22" s="651"/>
      <c r="AH22" s="58">
        <f t="shared" si="15"/>
        <v>0</v>
      </c>
      <c r="AI22" s="651"/>
      <c r="AJ22" s="651"/>
      <c r="AK22" s="58">
        <f t="shared" si="16"/>
        <v>0</v>
      </c>
      <c r="AL22" s="58">
        <f>(3*2*500)+(3*2*5*80)+(3*2*5*50)</f>
        <v>6900</v>
      </c>
      <c r="AM22" s="70">
        <f t="shared" si="7"/>
        <v>6900</v>
      </c>
      <c r="AN22" s="73">
        <f>AM22*0.67/2</f>
        <v>2311.5</v>
      </c>
      <c r="AO22" s="76"/>
      <c r="AP22" s="76"/>
      <c r="AQ22" s="76"/>
      <c r="AR22" s="76"/>
      <c r="AS22" s="74">
        <f t="shared" si="8"/>
        <v>4588.5</v>
      </c>
      <c r="AU22" s="984"/>
      <c r="AV22" s="984"/>
      <c r="AW22" s="984"/>
      <c r="AX22" s="984"/>
      <c r="AY22" s="984"/>
      <c r="AZ22" s="984"/>
      <c r="BA22" s="984"/>
      <c r="BB22" s="215"/>
    </row>
    <row r="23" spans="1:54" s="68" customFormat="1" ht="48.75" customHeight="1" thickBot="1">
      <c r="A23" s="1021"/>
      <c r="B23" s="1017"/>
      <c r="C23" s="1014">
        <v>2.4</v>
      </c>
      <c r="D23" s="1001" t="s">
        <v>336</v>
      </c>
      <c r="E23" s="107" t="s">
        <v>786</v>
      </c>
      <c r="F23" s="107" t="s">
        <v>344</v>
      </c>
      <c r="G23" s="107"/>
      <c r="H23" s="130"/>
      <c r="I23" s="131"/>
      <c r="J23" s="131"/>
      <c r="K23" s="132">
        <f t="shared" si="12"/>
        <v>0</v>
      </c>
      <c r="L23" s="133"/>
      <c r="M23" s="133"/>
      <c r="N23" s="133"/>
      <c r="O23" s="133"/>
      <c r="P23" s="133"/>
      <c r="Q23" s="133"/>
      <c r="R23" s="133"/>
      <c r="S23" s="133"/>
      <c r="T23" s="70">
        <f t="shared" si="19"/>
        <v>0</v>
      </c>
      <c r="U23" s="71">
        <v>10</v>
      </c>
      <c r="V23" s="71">
        <v>350</v>
      </c>
      <c r="W23" s="70">
        <f t="shared" si="13"/>
        <v>3500</v>
      </c>
      <c r="X23" s="71">
        <v>25</v>
      </c>
      <c r="Y23" s="71">
        <v>1200</v>
      </c>
      <c r="Z23" s="70">
        <f t="shared" si="18"/>
        <v>30000</v>
      </c>
      <c r="AA23" s="72"/>
      <c r="AB23" s="72"/>
      <c r="AC23" s="70">
        <f t="shared" si="14"/>
        <v>0</v>
      </c>
      <c r="AD23" s="70"/>
      <c r="AE23" s="70"/>
      <c r="AF23" s="91"/>
      <c r="AG23" s="91"/>
      <c r="AH23" s="70">
        <f t="shared" si="15"/>
        <v>0</v>
      </c>
      <c r="AI23" s="91"/>
      <c r="AJ23" s="91"/>
      <c r="AK23" s="70">
        <f t="shared" si="16"/>
        <v>0</v>
      </c>
      <c r="AL23" s="70"/>
      <c r="AM23" s="70">
        <f t="shared" si="7"/>
        <v>33500</v>
      </c>
      <c r="AN23" s="73"/>
      <c r="AO23" s="73">
        <f>AM23</f>
        <v>33500</v>
      </c>
      <c r="AP23" s="73"/>
      <c r="AQ23" s="73"/>
      <c r="AR23" s="73"/>
      <c r="AS23" s="74">
        <f t="shared" si="8"/>
        <v>0</v>
      </c>
      <c r="AU23" s="983">
        <f aca="true" t="shared" si="22" ref="AU23:BA23">AM23+AM24+AM25</f>
        <v>146000</v>
      </c>
      <c r="AV23" s="983">
        <f t="shared" si="22"/>
        <v>0</v>
      </c>
      <c r="AW23" s="983">
        <f t="shared" si="22"/>
        <v>146000</v>
      </c>
      <c r="AX23" s="983">
        <f t="shared" si="22"/>
        <v>0</v>
      </c>
      <c r="AY23" s="983">
        <f t="shared" si="22"/>
        <v>0</v>
      </c>
      <c r="AZ23" s="983">
        <f t="shared" si="22"/>
        <v>0</v>
      </c>
      <c r="BA23" s="983">
        <f t="shared" si="22"/>
        <v>0</v>
      </c>
      <c r="BB23" s="215"/>
    </row>
    <row r="24" spans="1:54" s="78" customFormat="1" ht="48" customHeight="1" thickBot="1">
      <c r="A24" s="1021"/>
      <c r="B24" s="1017"/>
      <c r="C24" s="1015"/>
      <c r="D24" s="1002"/>
      <c r="E24" s="108" t="s">
        <v>787</v>
      </c>
      <c r="F24" s="108" t="s">
        <v>345</v>
      </c>
      <c r="G24" s="108" t="s">
        <v>788</v>
      </c>
      <c r="H24" s="37"/>
      <c r="I24" s="2"/>
      <c r="J24" s="2"/>
      <c r="K24" s="170">
        <f t="shared" si="12"/>
        <v>0</v>
      </c>
      <c r="L24" s="8"/>
      <c r="M24" s="8"/>
      <c r="N24" s="8"/>
      <c r="O24" s="8"/>
      <c r="P24" s="8"/>
      <c r="Q24" s="8"/>
      <c r="R24" s="8"/>
      <c r="S24" s="8"/>
      <c r="T24" s="70">
        <f t="shared" si="19"/>
        <v>0</v>
      </c>
      <c r="U24" s="39"/>
      <c r="V24" s="39"/>
      <c r="W24" s="58">
        <f t="shared" si="13"/>
        <v>0</v>
      </c>
      <c r="X24" s="39"/>
      <c r="Y24" s="39"/>
      <c r="Z24" s="58">
        <f t="shared" si="18"/>
        <v>0</v>
      </c>
      <c r="AA24" s="42"/>
      <c r="AB24" s="42"/>
      <c r="AC24" s="58">
        <f t="shared" si="14"/>
        <v>0</v>
      </c>
      <c r="AD24" s="58"/>
      <c r="AE24" s="58">
        <v>70000</v>
      </c>
      <c r="AF24" s="651">
        <v>50</v>
      </c>
      <c r="AG24" s="651">
        <v>600</v>
      </c>
      <c r="AH24" s="58">
        <f t="shared" si="15"/>
        <v>30000</v>
      </c>
      <c r="AI24" s="651">
        <v>50</v>
      </c>
      <c r="AJ24" s="651">
        <v>250</v>
      </c>
      <c r="AK24" s="58">
        <f t="shared" si="16"/>
        <v>12500</v>
      </c>
      <c r="AL24" s="58"/>
      <c r="AM24" s="70">
        <f t="shared" si="7"/>
        <v>112500</v>
      </c>
      <c r="AN24" s="76"/>
      <c r="AO24" s="76">
        <v>112500</v>
      </c>
      <c r="AP24" s="76"/>
      <c r="AQ24" s="76"/>
      <c r="AR24" s="76"/>
      <c r="AS24" s="74">
        <f t="shared" si="8"/>
        <v>0</v>
      </c>
      <c r="AU24" s="986"/>
      <c r="AV24" s="986"/>
      <c r="AW24" s="986"/>
      <c r="AX24" s="986"/>
      <c r="AY24" s="986"/>
      <c r="AZ24" s="986"/>
      <c r="BA24" s="986"/>
      <c r="BB24" s="215"/>
    </row>
    <row r="25" spans="1:54" s="9" customFormat="1" ht="38.25" customHeight="1" thickBot="1">
      <c r="A25" s="1035"/>
      <c r="B25" s="1018"/>
      <c r="C25" s="1016"/>
      <c r="D25" s="1003"/>
      <c r="E25" s="111" t="s">
        <v>789</v>
      </c>
      <c r="F25" s="111" t="s">
        <v>346</v>
      </c>
      <c r="G25" s="107" t="s">
        <v>790</v>
      </c>
      <c r="H25" s="137"/>
      <c r="I25" s="138"/>
      <c r="J25" s="138"/>
      <c r="K25" s="187">
        <f t="shared" si="12"/>
        <v>0</v>
      </c>
      <c r="L25" s="139"/>
      <c r="M25" s="140"/>
      <c r="N25" s="79"/>
      <c r="O25" s="79"/>
      <c r="P25" s="79"/>
      <c r="Q25" s="79"/>
      <c r="R25" s="79"/>
      <c r="S25" s="79"/>
      <c r="T25" s="70">
        <f t="shared" si="19"/>
        <v>0</v>
      </c>
      <c r="U25" s="79"/>
      <c r="V25" s="79"/>
      <c r="W25" s="66">
        <f t="shared" si="13"/>
        <v>0</v>
      </c>
      <c r="X25" s="79"/>
      <c r="Y25" s="79"/>
      <c r="Z25" s="66">
        <f t="shared" si="18"/>
        <v>0</v>
      </c>
      <c r="AA25" s="80"/>
      <c r="AB25" s="80"/>
      <c r="AC25" s="66">
        <f t="shared" si="14"/>
        <v>0</v>
      </c>
      <c r="AD25" s="81"/>
      <c r="AE25" s="81"/>
      <c r="AF25" s="650"/>
      <c r="AG25" s="650"/>
      <c r="AH25" s="66">
        <f t="shared" si="15"/>
        <v>0</v>
      </c>
      <c r="AI25" s="650"/>
      <c r="AJ25" s="650"/>
      <c r="AK25" s="66">
        <f t="shared" si="16"/>
        <v>0</v>
      </c>
      <c r="AL25" s="82"/>
      <c r="AM25" s="70">
        <f t="shared" si="7"/>
        <v>0</v>
      </c>
      <c r="AN25" s="83"/>
      <c r="AO25" s="83"/>
      <c r="AP25" s="83"/>
      <c r="AQ25" s="83"/>
      <c r="AR25" s="83"/>
      <c r="AS25" s="74">
        <f t="shared" si="8"/>
        <v>0</v>
      </c>
      <c r="AU25" s="984"/>
      <c r="AV25" s="984"/>
      <c r="AW25" s="984"/>
      <c r="AX25" s="984"/>
      <c r="AY25" s="984"/>
      <c r="AZ25" s="984"/>
      <c r="BA25" s="984"/>
      <c r="BB25" s="215"/>
    </row>
    <row r="26" spans="1:54" s="9" customFormat="1" ht="39" customHeight="1" thickBot="1">
      <c r="A26" s="1011">
        <v>3</v>
      </c>
      <c r="B26" s="991" t="s">
        <v>350</v>
      </c>
      <c r="C26" s="1019">
        <v>3.1</v>
      </c>
      <c r="D26" s="994" t="s">
        <v>1234</v>
      </c>
      <c r="E26" s="108" t="s">
        <v>791</v>
      </c>
      <c r="F26" s="761" t="s">
        <v>347</v>
      </c>
      <c r="G26" s="107" t="s">
        <v>792</v>
      </c>
      <c r="H26" s="37"/>
      <c r="I26" s="146"/>
      <c r="J26" s="146"/>
      <c r="K26" s="170">
        <f t="shared" si="12"/>
        <v>0</v>
      </c>
      <c r="L26" s="8"/>
      <c r="M26" s="145"/>
      <c r="N26" s="92"/>
      <c r="O26" s="92"/>
      <c r="P26" s="92"/>
      <c r="Q26" s="92"/>
      <c r="R26" s="92"/>
      <c r="S26" s="92"/>
      <c r="T26" s="70">
        <f t="shared" si="19"/>
        <v>0</v>
      </c>
      <c r="U26" s="92"/>
      <c r="V26" s="92"/>
      <c r="W26" s="58">
        <f t="shared" si="13"/>
        <v>0</v>
      </c>
      <c r="X26" s="92"/>
      <c r="Y26" s="92"/>
      <c r="Z26" s="58">
        <f t="shared" si="18"/>
        <v>0</v>
      </c>
      <c r="AA26" s="93"/>
      <c r="AB26" s="93"/>
      <c r="AC26" s="58">
        <f t="shared" si="14"/>
        <v>0</v>
      </c>
      <c r="AD26" s="94"/>
      <c r="AE26" s="94"/>
      <c r="AF26" s="653"/>
      <c r="AG26" s="653"/>
      <c r="AH26" s="58">
        <f t="shared" si="15"/>
        <v>0</v>
      </c>
      <c r="AI26" s="653"/>
      <c r="AJ26" s="653"/>
      <c r="AK26" s="58">
        <f t="shared" si="16"/>
        <v>0</v>
      </c>
      <c r="AL26" s="95"/>
      <c r="AM26" s="70">
        <f t="shared" si="7"/>
        <v>0</v>
      </c>
      <c r="AN26" s="76"/>
      <c r="AO26" s="76"/>
      <c r="AP26" s="76"/>
      <c r="AQ26" s="76"/>
      <c r="AR26" s="76"/>
      <c r="AS26" s="74">
        <f t="shared" si="8"/>
        <v>0</v>
      </c>
      <c r="AU26" s="983">
        <f aca="true" t="shared" si="23" ref="AU26:BA26">AM26+AM27+AM28</f>
        <v>0</v>
      </c>
      <c r="AV26" s="983">
        <f t="shared" si="23"/>
        <v>0</v>
      </c>
      <c r="AW26" s="983">
        <f t="shared" si="23"/>
        <v>0</v>
      </c>
      <c r="AX26" s="983">
        <f t="shared" si="23"/>
        <v>0</v>
      </c>
      <c r="AY26" s="983">
        <f t="shared" si="23"/>
        <v>0</v>
      </c>
      <c r="AZ26" s="983">
        <f t="shared" si="23"/>
        <v>0</v>
      </c>
      <c r="BA26" s="983">
        <f t="shared" si="23"/>
        <v>0</v>
      </c>
      <c r="BB26" s="215"/>
    </row>
    <row r="27" spans="1:54" ht="63.75" customHeight="1" thickBot="1">
      <c r="A27" s="1012"/>
      <c r="B27" s="992"/>
      <c r="C27" s="1020"/>
      <c r="D27" s="995"/>
      <c r="E27" s="115" t="s">
        <v>793</v>
      </c>
      <c r="F27" s="115" t="s">
        <v>352</v>
      </c>
      <c r="G27" s="107" t="s">
        <v>794</v>
      </c>
      <c r="H27" s="134"/>
      <c r="I27" s="135"/>
      <c r="J27" s="135"/>
      <c r="K27" s="170">
        <f t="shared" si="12"/>
        <v>0</v>
      </c>
      <c r="L27" s="143"/>
      <c r="M27" s="143"/>
      <c r="N27" s="143"/>
      <c r="O27" s="143"/>
      <c r="P27" s="143"/>
      <c r="Q27" s="143"/>
      <c r="R27" s="143"/>
      <c r="S27" s="143"/>
      <c r="T27" s="70">
        <f t="shared" si="19"/>
        <v>0</v>
      </c>
      <c r="U27" s="87"/>
      <c r="V27" s="87"/>
      <c r="W27" s="88"/>
      <c r="X27" s="87"/>
      <c r="Y27" s="87"/>
      <c r="Z27" s="88"/>
      <c r="AA27" s="89"/>
      <c r="AB27" s="89"/>
      <c r="AC27" s="88"/>
      <c r="AD27" s="88"/>
      <c r="AE27" s="88"/>
      <c r="AF27" s="648"/>
      <c r="AG27" s="648"/>
      <c r="AH27" s="88"/>
      <c r="AI27" s="648"/>
      <c r="AJ27" s="648"/>
      <c r="AK27" s="88"/>
      <c r="AL27" s="88"/>
      <c r="AM27" s="70">
        <f t="shared" si="7"/>
        <v>0</v>
      </c>
      <c r="AN27" s="90"/>
      <c r="AO27" s="90"/>
      <c r="AP27" s="90"/>
      <c r="AQ27" s="90"/>
      <c r="AR27" s="90"/>
      <c r="AS27" s="74">
        <f t="shared" si="8"/>
        <v>0</v>
      </c>
      <c r="AU27" s="986"/>
      <c r="AV27" s="986"/>
      <c r="AW27" s="986"/>
      <c r="AX27" s="986"/>
      <c r="AY27" s="986"/>
      <c r="AZ27" s="986"/>
      <c r="BA27" s="986"/>
      <c r="BB27" s="215"/>
    </row>
    <row r="28" spans="1:54" ht="63" customHeight="1" thickBot="1">
      <c r="A28" s="1012"/>
      <c r="B28" s="992"/>
      <c r="C28" s="1020"/>
      <c r="D28" s="1007"/>
      <c r="E28" s="108" t="s">
        <v>795</v>
      </c>
      <c r="F28" s="111" t="s">
        <v>353</v>
      </c>
      <c r="G28" s="107" t="s">
        <v>796</v>
      </c>
      <c r="H28" s="37"/>
      <c r="I28" s="2"/>
      <c r="J28" s="2"/>
      <c r="K28" s="170">
        <f>H28*I28*J28</f>
        <v>0</v>
      </c>
      <c r="L28" s="8"/>
      <c r="M28" s="8"/>
      <c r="N28" s="8"/>
      <c r="O28" s="8"/>
      <c r="P28" s="8"/>
      <c r="Q28" s="8"/>
      <c r="R28" s="8"/>
      <c r="S28" s="8"/>
      <c r="T28" s="70">
        <f t="shared" si="19"/>
        <v>0</v>
      </c>
      <c r="U28" s="39"/>
      <c r="V28" s="39"/>
      <c r="W28" s="58">
        <f>U28*V28</f>
        <v>0</v>
      </c>
      <c r="X28" s="39"/>
      <c r="Y28" s="39"/>
      <c r="Z28" s="58">
        <f>X28*Y28</f>
        <v>0</v>
      </c>
      <c r="AA28" s="42"/>
      <c r="AB28" s="42"/>
      <c r="AC28" s="58">
        <f>AA28*AB28</f>
        <v>0</v>
      </c>
      <c r="AD28" s="58"/>
      <c r="AE28" s="58"/>
      <c r="AF28" s="651"/>
      <c r="AG28" s="651"/>
      <c r="AH28" s="58">
        <f>AF28*AG28</f>
        <v>0</v>
      </c>
      <c r="AI28" s="651"/>
      <c r="AJ28" s="651"/>
      <c r="AK28" s="58">
        <f>AI28*AJ28</f>
        <v>0</v>
      </c>
      <c r="AL28" s="58"/>
      <c r="AM28" s="70">
        <f t="shared" si="7"/>
        <v>0</v>
      </c>
      <c r="AN28" s="76"/>
      <c r="AO28" s="76"/>
      <c r="AP28" s="76"/>
      <c r="AQ28" s="76"/>
      <c r="AR28" s="76"/>
      <c r="AS28" s="74">
        <f t="shared" si="8"/>
        <v>0</v>
      </c>
      <c r="AU28" s="984"/>
      <c r="AV28" s="984"/>
      <c r="AW28" s="984"/>
      <c r="AX28" s="984"/>
      <c r="AY28" s="984"/>
      <c r="AZ28" s="984"/>
      <c r="BA28" s="984"/>
      <c r="BB28" s="215"/>
    </row>
    <row r="29" spans="1:54" ht="49.5" customHeight="1" thickBot="1">
      <c r="A29" s="1012"/>
      <c r="B29" s="992"/>
      <c r="C29" s="988">
        <v>3.2</v>
      </c>
      <c r="D29" s="994" t="s">
        <v>351</v>
      </c>
      <c r="E29" s="119" t="s">
        <v>797</v>
      </c>
      <c r="F29" s="762" t="s">
        <v>354</v>
      </c>
      <c r="G29" s="107"/>
      <c r="H29" s="130"/>
      <c r="I29" s="131"/>
      <c r="J29" s="131"/>
      <c r="K29" s="132">
        <f>H29*I29*J29</f>
        <v>0</v>
      </c>
      <c r="L29" s="133"/>
      <c r="M29" s="133"/>
      <c r="N29" s="133"/>
      <c r="O29" s="133"/>
      <c r="P29" s="133"/>
      <c r="Q29" s="133"/>
      <c r="R29" s="133"/>
      <c r="S29" s="143"/>
      <c r="T29" s="70">
        <f t="shared" si="19"/>
        <v>0</v>
      </c>
      <c r="U29" s="71"/>
      <c r="V29" s="71"/>
      <c r="W29" s="70">
        <f>U29*V29</f>
        <v>0</v>
      </c>
      <c r="X29" s="123"/>
      <c r="Y29" s="71"/>
      <c r="Z29" s="58">
        <f>X29*Y29</f>
        <v>0</v>
      </c>
      <c r="AA29" s="72"/>
      <c r="AB29" s="72"/>
      <c r="AC29" s="70">
        <f>AA29*AB29</f>
        <v>0</v>
      </c>
      <c r="AD29" s="70"/>
      <c r="AE29" s="70"/>
      <c r="AF29" s="651"/>
      <c r="AG29" s="651"/>
      <c r="AH29" s="70">
        <f aca="true" t="shared" si="24" ref="AH29:AH42">AF29*AG29</f>
        <v>0</v>
      </c>
      <c r="AI29" s="651"/>
      <c r="AJ29" s="651"/>
      <c r="AK29" s="70">
        <f aca="true" t="shared" si="25" ref="AK29:AK42">AI29*AJ29</f>
        <v>0</v>
      </c>
      <c r="AL29" s="70"/>
      <c r="AM29" s="70">
        <f t="shared" si="7"/>
        <v>0</v>
      </c>
      <c r="AN29" s="76"/>
      <c r="AO29" s="76"/>
      <c r="AP29" s="76"/>
      <c r="AQ29" s="76"/>
      <c r="AR29" s="76"/>
      <c r="AS29" s="74">
        <f t="shared" si="8"/>
        <v>0</v>
      </c>
      <c r="AU29" s="983">
        <f aca="true" t="shared" si="26" ref="AU29:BA29">AM29+AM30+AM31+AM32</f>
        <v>0</v>
      </c>
      <c r="AV29" s="983">
        <f t="shared" si="26"/>
        <v>0</v>
      </c>
      <c r="AW29" s="983">
        <f t="shared" si="26"/>
        <v>0</v>
      </c>
      <c r="AX29" s="983">
        <f t="shared" si="26"/>
        <v>0</v>
      </c>
      <c r="AY29" s="983">
        <f t="shared" si="26"/>
        <v>0</v>
      </c>
      <c r="AZ29" s="983">
        <f t="shared" si="26"/>
        <v>0</v>
      </c>
      <c r="BA29" s="983">
        <f t="shared" si="26"/>
        <v>0</v>
      </c>
      <c r="BB29" s="215"/>
    </row>
    <row r="30" spans="1:54" ht="42" customHeight="1" thickBot="1">
      <c r="A30" s="1012"/>
      <c r="B30" s="992"/>
      <c r="C30" s="990"/>
      <c r="D30" s="995"/>
      <c r="E30" s="120" t="s">
        <v>798</v>
      </c>
      <c r="F30" s="115" t="s">
        <v>355</v>
      </c>
      <c r="G30" s="108"/>
      <c r="H30" s="134"/>
      <c r="I30" s="135"/>
      <c r="J30" s="135"/>
      <c r="K30" s="192"/>
      <c r="L30" s="143"/>
      <c r="M30" s="143"/>
      <c r="N30" s="143"/>
      <c r="O30" s="143"/>
      <c r="P30" s="143"/>
      <c r="Q30" s="143"/>
      <c r="R30" s="143"/>
      <c r="S30" s="143"/>
      <c r="T30" s="70">
        <f t="shared" si="19"/>
        <v>0</v>
      </c>
      <c r="U30" s="87"/>
      <c r="V30" s="87"/>
      <c r="W30" s="88"/>
      <c r="X30" s="123"/>
      <c r="Y30" s="87"/>
      <c r="Z30" s="58"/>
      <c r="AA30" s="89"/>
      <c r="AB30" s="89"/>
      <c r="AC30" s="88"/>
      <c r="AD30" s="88"/>
      <c r="AE30" s="88"/>
      <c r="AF30" s="651"/>
      <c r="AG30" s="651"/>
      <c r="AH30" s="88"/>
      <c r="AI30" s="651"/>
      <c r="AJ30" s="651"/>
      <c r="AK30" s="88"/>
      <c r="AL30" s="88"/>
      <c r="AM30" s="70">
        <f t="shared" si="7"/>
        <v>0</v>
      </c>
      <c r="AN30" s="76"/>
      <c r="AO30" s="76"/>
      <c r="AP30" s="76"/>
      <c r="AQ30" s="76"/>
      <c r="AR30" s="76"/>
      <c r="AS30" s="74">
        <f t="shared" si="8"/>
        <v>0</v>
      </c>
      <c r="AU30" s="986"/>
      <c r="AV30" s="986"/>
      <c r="AW30" s="986"/>
      <c r="AX30" s="986"/>
      <c r="AY30" s="986"/>
      <c r="AZ30" s="986"/>
      <c r="BA30" s="986"/>
      <c r="BB30" s="215"/>
    </row>
    <row r="31" spans="1:54" ht="50.25" customHeight="1" thickBot="1">
      <c r="A31" s="1012"/>
      <c r="B31" s="992"/>
      <c r="C31" s="990"/>
      <c r="D31" s="995"/>
      <c r="E31" s="121" t="s">
        <v>799</v>
      </c>
      <c r="F31" s="115" t="s">
        <v>356</v>
      </c>
      <c r="G31" s="108"/>
      <c r="H31" s="37"/>
      <c r="I31" s="2"/>
      <c r="J31" s="2"/>
      <c r="K31" s="170">
        <f>H31*I31*J31</f>
        <v>0</v>
      </c>
      <c r="L31" s="8"/>
      <c r="M31" s="8"/>
      <c r="N31" s="8"/>
      <c r="O31" s="8"/>
      <c r="P31" s="8"/>
      <c r="Q31" s="8"/>
      <c r="R31" s="8"/>
      <c r="S31" s="8"/>
      <c r="T31" s="70">
        <f t="shared" si="19"/>
        <v>0</v>
      </c>
      <c r="U31" s="39"/>
      <c r="V31" s="39"/>
      <c r="W31" s="58">
        <f aca="true" t="shared" si="27" ref="W31:W42">U31*V31</f>
        <v>0</v>
      </c>
      <c r="X31" s="123"/>
      <c r="Y31" s="39"/>
      <c r="Z31" s="58">
        <f>X31*Y31</f>
        <v>0</v>
      </c>
      <c r="AA31" s="42"/>
      <c r="AB31" s="42"/>
      <c r="AC31" s="58">
        <f>AA31*AB31</f>
        <v>0</v>
      </c>
      <c r="AD31" s="58"/>
      <c r="AE31" s="58"/>
      <c r="AF31" s="651"/>
      <c r="AG31" s="651"/>
      <c r="AH31" s="58">
        <f t="shared" si="24"/>
        <v>0</v>
      </c>
      <c r="AI31" s="651"/>
      <c r="AJ31" s="651"/>
      <c r="AK31" s="58">
        <f t="shared" si="25"/>
        <v>0</v>
      </c>
      <c r="AL31" s="58"/>
      <c r="AM31" s="70">
        <f t="shared" si="7"/>
        <v>0</v>
      </c>
      <c r="AN31" s="76"/>
      <c r="AO31" s="76"/>
      <c r="AP31" s="76"/>
      <c r="AQ31" s="76"/>
      <c r="AR31" s="76"/>
      <c r="AS31" s="74">
        <f t="shared" si="8"/>
        <v>0</v>
      </c>
      <c r="AU31" s="986"/>
      <c r="AV31" s="986"/>
      <c r="AW31" s="986"/>
      <c r="AX31" s="986"/>
      <c r="AY31" s="986"/>
      <c r="AZ31" s="986"/>
      <c r="BA31" s="986"/>
      <c r="BB31" s="215"/>
    </row>
    <row r="32" spans="1:54" ht="53.25" customHeight="1" thickBot="1">
      <c r="A32" s="1013"/>
      <c r="B32" s="993"/>
      <c r="C32" s="989"/>
      <c r="D32" s="996"/>
      <c r="E32" s="108" t="s">
        <v>800</v>
      </c>
      <c r="F32" s="763" t="s">
        <v>357</v>
      </c>
      <c r="G32" s="107" t="s">
        <v>801</v>
      </c>
      <c r="H32" s="144"/>
      <c r="I32" s="161"/>
      <c r="J32" s="161"/>
      <c r="K32" s="198"/>
      <c r="L32" s="162"/>
      <c r="M32" s="162"/>
      <c r="N32" s="162"/>
      <c r="O32" s="162"/>
      <c r="P32" s="162"/>
      <c r="Q32" s="162"/>
      <c r="R32" s="162"/>
      <c r="S32" s="162"/>
      <c r="T32" s="70">
        <f t="shared" si="19"/>
        <v>0</v>
      </c>
      <c r="U32" s="96"/>
      <c r="V32" s="96"/>
      <c r="W32" s="97"/>
      <c r="X32" s="96"/>
      <c r="Y32" s="96"/>
      <c r="Z32" s="97"/>
      <c r="AA32" s="98"/>
      <c r="AB32" s="98"/>
      <c r="AC32" s="97"/>
      <c r="AD32" s="97"/>
      <c r="AE32" s="97"/>
      <c r="AF32" s="654"/>
      <c r="AG32" s="654"/>
      <c r="AH32" s="97"/>
      <c r="AI32" s="654"/>
      <c r="AJ32" s="654"/>
      <c r="AK32" s="97"/>
      <c r="AL32" s="97"/>
      <c r="AM32" s="70">
        <f t="shared" si="7"/>
        <v>0</v>
      </c>
      <c r="AN32" s="99"/>
      <c r="AO32" s="99"/>
      <c r="AP32" s="99"/>
      <c r="AQ32" s="99"/>
      <c r="AR32" s="99"/>
      <c r="AS32" s="74">
        <f t="shared" si="8"/>
        <v>0</v>
      </c>
      <c r="AU32" s="984"/>
      <c r="AV32" s="984"/>
      <c r="AW32" s="984"/>
      <c r="AX32" s="984"/>
      <c r="AY32" s="984"/>
      <c r="AZ32" s="984"/>
      <c r="BA32" s="984"/>
      <c r="BB32" s="215"/>
    </row>
    <row r="33" spans="1:54" ht="48.75" customHeight="1" thickBot="1">
      <c r="A33" s="1021">
        <v>4</v>
      </c>
      <c r="B33" s="1000" t="s">
        <v>358</v>
      </c>
      <c r="C33" s="1004">
        <v>4.1</v>
      </c>
      <c r="D33" s="1005" t="s">
        <v>1236</v>
      </c>
      <c r="E33" s="107" t="s">
        <v>802</v>
      </c>
      <c r="F33" s="107" t="s">
        <v>360</v>
      </c>
      <c r="G33" s="107" t="s">
        <v>803</v>
      </c>
      <c r="H33" s="130"/>
      <c r="I33" s="131"/>
      <c r="J33" s="131"/>
      <c r="K33" s="132">
        <f>H33*I33*J33</f>
        <v>0</v>
      </c>
      <c r="L33" s="133"/>
      <c r="M33" s="133"/>
      <c r="N33" s="133"/>
      <c r="O33" s="133"/>
      <c r="P33" s="133"/>
      <c r="Q33" s="133"/>
      <c r="R33" s="133"/>
      <c r="S33" s="143"/>
      <c r="T33" s="70">
        <f t="shared" si="19"/>
        <v>0</v>
      </c>
      <c r="U33" s="71"/>
      <c r="V33" s="71"/>
      <c r="W33" s="70">
        <f t="shared" si="27"/>
        <v>0</v>
      </c>
      <c r="X33" s="71"/>
      <c r="Y33" s="71"/>
      <c r="Z33" s="58">
        <f>X33*Y33</f>
        <v>0</v>
      </c>
      <c r="AA33" s="72"/>
      <c r="AB33" s="72"/>
      <c r="AC33" s="70">
        <f>AA33*AB33</f>
        <v>0</v>
      </c>
      <c r="AD33" s="70"/>
      <c r="AE33" s="70"/>
      <c r="AF33" s="651"/>
      <c r="AG33" s="651"/>
      <c r="AH33" s="70">
        <f t="shared" si="24"/>
        <v>0</v>
      </c>
      <c r="AI33" s="651"/>
      <c r="AJ33" s="651"/>
      <c r="AK33" s="70">
        <f t="shared" si="25"/>
        <v>0</v>
      </c>
      <c r="AL33" s="70">
        <v>9000</v>
      </c>
      <c r="AM33" s="70">
        <f t="shared" si="7"/>
        <v>9000</v>
      </c>
      <c r="AN33" s="73">
        <f>AM33*0.67</f>
        <v>6030</v>
      </c>
      <c r="AO33" s="76">
        <v>2970</v>
      </c>
      <c r="AP33" s="76"/>
      <c r="AQ33" s="76"/>
      <c r="AR33" s="76"/>
      <c r="AS33" s="74">
        <f t="shared" si="8"/>
        <v>0</v>
      </c>
      <c r="AU33" s="983">
        <f aca="true" t="shared" si="28" ref="AU33:BA33">AM33+AM34</f>
        <v>18120</v>
      </c>
      <c r="AV33" s="983">
        <f t="shared" si="28"/>
        <v>12140.400000000001</v>
      </c>
      <c r="AW33" s="983">
        <f t="shared" si="28"/>
        <v>5980</v>
      </c>
      <c r="AX33" s="983">
        <f t="shared" si="28"/>
        <v>0</v>
      </c>
      <c r="AY33" s="983">
        <f t="shared" si="28"/>
        <v>0</v>
      </c>
      <c r="AZ33" s="983">
        <f t="shared" si="28"/>
        <v>0</v>
      </c>
      <c r="BA33" s="983">
        <f t="shared" si="28"/>
        <v>-0.4000000000005457</v>
      </c>
      <c r="BB33" s="215"/>
    </row>
    <row r="34" spans="1:54" ht="42.75" customHeight="1" thickBot="1">
      <c r="A34" s="1021"/>
      <c r="B34" s="1000"/>
      <c r="C34" s="1004"/>
      <c r="D34" s="1005"/>
      <c r="E34" s="108" t="s">
        <v>804</v>
      </c>
      <c r="F34" s="764" t="s">
        <v>361</v>
      </c>
      <c r="G34" s="108" t="s">
        <v>349</v>
      </c>
      <c r="H34" s="37"/>
      <c r="I34" s="2"/>
      <c r="J34" s="2"/>
      <c r="K34" s="170">
        <f>H34*I34*J34</f>
        <v>0</v>
      </c>
      <c r="L34" s="8"/>
      <c r="M34" s="8"/>
      <c r="N34" s="8"/>
      <c r="O34" s="8"/>
      <c r="P34" s="8"/>
      <c r="Q34" s="8"/>
      <c r="R34" s="8"/>
      <c r="S34" s="8"/>
      <c r="T34" s="70">
        <f t="shared" si="19"/>
        <v>0</v>
      </c>
      <c r="U34" s="39"/>
      <c r="V34" s="39"/>
      <c r="W34" s="58">
        <f t="shared" si="27"/>
        <v>0</v>
      </c>
      <c r="X34" s="39"/>
      <c r="Y34" s="39"/>
      <c r="Z34" s="58">
        <f>X34*Y34</f>
        <v>0</v>
      </c>
      <c r="AA34" s="42"/>
      <c r="AB34" s="42"/>
      <c r="AC34" s="58">
        <f>AA34*AB34</f>
        <v>0</v>
      </c>
      <c r="AD34" s="58"/>
      <c r="AE34" s="58"/>
      <c r="AF34" s="651"/>
      <c r="AG34" s="651"/>
      <c r="AH34" s="58">
        <f t="shared" si="24"/>
        <v>0</v>
      </c>
      <c r="AI34" s="651"/>
      <c r="AJ34" s="651"/>
      <c r="AK34" s="58">
        <f t="shared" si="25"/>
        <v>0</v>
      </c>
      <c r="AL34" s="58">
        <f>(12*1*500)+(12*2*1*80)+(12*1*2*50)</f>
        <v>9120</v>
      </c>
      <c r="AM34" s="70">
        <f t="shared" si="7"/>
        <v>9120</v>
      </c>
      <c r="AN34" s="73">
        <f>AM34*0.67</f>
        <v>6110.400000000001</v>
      </c>
      <c r="AO34" s="76">
        <v>3010</v>
      </c>
      <c r="AP34" s="76"/>
      <c r="AQ34" s="76"/>
      <c r="AR34" s="76"/>
      <c r="AS34" s="74">
        <f t="shared" si="8"/>
        <v>-0.4000000000005457</v>
      </c>
      <c r="AU34" s="984"/>
      <c r="AV34" s="984"/>
      <c r="AW34" s="984"/>
      <c r="AX34" s="984"/>
      <c r="AY34" s="984"/>
      <c r="AZ34" s="984"/>
      <c r="BA34" s="984"/>
      <c r="BB34" s="215"/>
    </row>
    <row r="35" spans="1:54" ht="99.75" customHeight="1" thickBot="1">
      <c r="A35" s="1021"/>
      <c r="B35" s="1000"/>
      <c r="C35" s="1004">
        <v>4.2</v>
      </c>
      <c r="D35" s="1006" t="s">
        <v>1237</v>
      </c>
      <c r="E35" s="115" t="s">
        <v>805</v>
      </c>
      <c r="F35" s="807" t="s">
        <v>1213</v>
      </c>
      <c r="G35" s="107" t="s">
        <v>806</v>
      </c>
      <c r="H35" s="134"/>
      <c r="I35" s="135"/>
      <c r="J35" s="135"/>
      <c r="K35" s="192"/>
      <c r="L35" s="143"/>
      <c r="M35" s="143"/>
      <c r="N35" s="143"/>
      <c r="O35" s="143"/>
      <c r="P35" s="143"/>
      <c r="Q35" s="143"/>
      <c r="R35" s="143"/>
      <c r="S35" s="143"/>
      <c r="T35" s="70">
        <f t="shared" si="19"/>
        <v>0</v>
      </c>
      <c r="U35" s="87">
        <v>20</v>
      </c>
      <c r="V35" s="87">
        <v>350</v>
      </c>
      <c r="W35" s="58">
        <f t="shared" si="27"/>
        <v>7000</v>
      </c>
      <c r="X35" s="87">
        <v>20</v>
      </c>
      <c r="Y35" s="87">
        <v>1200</v>
      </c>
      <c r="Z35" s="58">
        <f>X35*Y35</f>
        <v>24000</v>
      </c>
      <c r="AA35" s="89"/>
      <c r="AB35" s="89"/>
      <c r="AC35" s="88"/>
      <c r="AD35" s="88"/>
      <c r="AE35" s="88"/>
      <c r="AF35" s="651"/>
      <c r="AG35" s="651"/>
      <c r="AH35" s="88"/>
      <c r="AI35" s="651"/>
      <c r="AJ35" s="651"/>
      <c r="AK35" s="88"/>
      <c r="AL35" s="88">
        <v>2000</v>
      </c>
      <c r="AM35" s="70">
        <f t="shared" si="7"/>
        <v>33000</v>
      </c>
      <c r="AN35" s="76"/>
      <c r="AO35" s="76">
        <v>33000</v>
      </c>
      <c r="AP35" s="76"/>
      <c r="AQ35" s="76"/>
      <c r="AR35" s="76"/>
      <c r="AS35" s="74">
        <f t="shared" si="8"/>
        <v>0</v>
      </c>
      <c r="AU35" s="983">
        <f aca="true" t="shared" si="29" ref="AU35:BA35">AM35+AM36</f>
        <v>33000</v>
      </c>
      <c r="AV35" s="983">
        <f t="shared" si="29"/>
        <v>0</v>
      </c>
      <c r="AW35" s="983">
        <f t="shared" si="29"/>
        <v>33000</v>
      </c>
      <c r="AX35" s="983">
        <f t="shared" si="29"/>
        <v>0</v>
      </c>
      <c r="AY35" s="983">
        <f t="shared" si="29"/>
        <v>0</v>
      </c>
      <c r="AZ35" s="983">
        <f t="shared" si="29"/>
        <v>0</v>
      </c>
      <c r="BA35" s="983">
        <f t="shared" si="29"/>
        <v>0</v>
      </c>
      <c r="BB35" s="215"/>
    </row>
    <row r="36" spans="1:54" ht="54" customHeight="1" thickBot="1">
      <c r="A36" s="1021"/>
      <c r="B36" s="1000"/>
      <c r="C36" s="1004"/>
      <c r="D36" s="996"/>
      <c r="E36" s="115" t="s">
        <v>807</v>
      </c>
      <c r="F36" s="765" t="s">
        <v>362</v>
      </c>
      <c r="G36" s="115" t="s">
        <v>808</v>
      </c>
      <c r="H36" s="134"/>
      <c r="I36" s="135"/>
      <c r="J36" s="135"/>
      <c r="K36" s="192"/>
      <c r="L36" s="143"/>
      <c r="M36" s="143"/>
      <c r="N36" s="143"/>
      <c r="O36" s="143"/>
      <c r="P36" s="143"/>
      <c r="Q36" s="143"/>
      <c r="R36" s="143"/>
      <c r="S36" s="143"/>
      <c r="T36" s="70">
        <f t="shared" si="19"/>
        <v>0</v>
      </c>
      <c r="U36" s="87"/>
      <c r="V36" s="87"/>
      <c r="W36" s="88"/>
      <c r="X36" s="87"/>
      <c r="Y36" s="87"/>
      <c r="Z36" s="58"/>
      <c r="AA36" s="89"/>
      <c r="AB36" s="89"/>
      <c r="AC36" s="88"/>
      <c r="AD36" s="88"/>
      <c r="AE36" s="88"/>
      <c r="AF36" s="651"/>
      <c r="AG36" s="651"/>
      <c r="AH36" s="88"/>
      <c r="AI36" s="651"/>
      <c r="AJ36" s="651"/>
      <c r="AK36" s="88"/>
      <c r="AL36" s="88"/>
      <c r="AM36" s="70">
        <f t="shared" si="7"/>
        <v>0</v>
      </c>
      <c r="AN36" s="76"/>
      <c r="AO36" s="76"/>
      <c r="AP36" s="76"/>
      <c r="AQ36" s="76"/>
      <c r="AR36" s="76"/>
      <c r="AS36" s="74">
        <f t="shared" si="8"/>
        <v>0</v>
      </c>
      <c r="AU36" s="984"/>
      <c r="AV36" s="984"/>
      <c r="AW36" s="984"/>
      <c r="AX36" s="984"/>
      <c r="AY36" s="984"/>
      <c r="AZ36" s="984"/>
      <c r="BA36" s="984"/>
      <c r="BB36" s="215"/>
    </row>
    <row r="37" spans="1:54" ht="23.25" thickBot="1">
      <c r="A37" s="1021"/>
      <c r="B37" s="1000"/>
      <c r="C37" s="1004">
        <v>4.3</v>
      </c>
      <c r="D37" s="1005" t="s">
        <v>359</v>
      </c>
      <c r="E37" s="107" t="s">
        <v>809</v>
      </c>
      <c r="F37" s="115" t="s">
        <v>363</v>
      </c>
      <c r="G37" s="107" t="s">
        <v>375</v>
      </c>
      <c r="H37" s="130"/>
      <c r="I37" s="131"/>
      <c r="J37" s="131"/>
      <c r="K37" s="132">
        <f aca="true" t="shared" si="30" ref="K37:K43">H37*I37*J37</f>
        <v>0</v>
      </c>
      <c r="L37" s="133"/>
      <c r="M37" s="133"/>
      <c r="N37" s="133"/>
      <c r="O37" s="133"/>
      <c r="P37" s="133"/>
      <c r="Q37" s="133"/>
      <c r="R37" s="133"/>
      <c r="S37" s="143"/>
      <c r="T37" s="70">
        <f t="shared" si="19"/>
        <v>0</v>
      </c>
      <c r="U37" s="71"/>
      <c r="V37" s="71"/>
      <c r="W37" s="70">
        <f t="shared" si="27"/>
        <v>0</v>
      </c>
      <c r="X37" s="71"/>
      <c r="Y37" s="71"/>
      <c r="Z37" s="58">
        <f aca="true" t="shared" si="31" ref="Z37:Z43">X37*Y37</f>
        <v>0</v>
      </c>
      <c r="AA37" s="72"/>
      <c r="AB37" s="72"/>
      <c r="AC37" s="70">
        <f aca="true" t="shared" si="32" ref="AC37:AC43">AA37*AB37</f>
        <v>0</v>
      </c>
      <c r="AD37" s="70"/>
      <c r="AE37" s="70"/>
      <c r="AF37" s="91"/>
      <c r="AG37" s="91"/>
      <c r="AH37" s="70">
        <f t="shared" si="24"/>
        <v>0</v>
      </c>
      <c r="AI37" s="654"/>
      <c r="AJ37" s="654"/>
      <c r="AK37" s="70">
        <f t="shared" si="25"/>
        <v>0</v>
      </c>
      <c r="AL37" s="70">
        <v>25000</v>
      </c>
      <c r="AM37" s="70">
        <f t="shared" si="7"/>
        <v>25000</v>
      </c>
      <c r="AN37" s="76"/>
      <c r="AO37" s="76">
        <v>25000</v>
      </c>
      <c r="AP37" s="76"/>
      <c r="AQ37" s="76"/>
      <c r="AR37" s="76"/>
      <c r="AS37" s="74">
        <f t="shared" si="8"/>
        <v>0</v>
      </c>
      <c r="AU37" s="75">
        <f aca="true" t="shared" si="33" ref="AU37:BA37">AM37</f>
        <v>25000</v>
      </c>
      <c r="AV37" s="75">
        <f t="shared" si="33"/>
        <v>0</v>
      </c>
      <c r="AW37" s="75">
        <f t="shared" si="33"/>
        <v>25000</v>
      </c>
      <c r="AX37" s="75">
        <f t="shared" si="33"/>
        <v>0</v>
      </c>
      <c r="AY37" s="75">
        <f t="shared" si="33"/>
        <v>0</v>
      </c>
      <c r="AZ37" s="75">
        <f t="shared" si="33"/>
        <v>0</v>
      </c>
      <c r="BA37" s="75">
        <f t="shared" si="33"/>
        <v>0</v>
      </c>
      <c r="BB37" s="215"/>
    </row>
    <row r="38" spans="1:54" ht="16.5" customHeight="1" thickBot="1">
      <c r="A38" s="1021"/>
      <c r="B38" s="1000"/>
      <c r="C38" s="1004"/>
      <c r="D38" s="1005"/>
      <c r="E38" s="108"/>
      <c r="F38" s="108"/>
      <c r="G38" s="108"/>
      <c r="H38" s="37"/>
      <c r="I38" s="146"/>
      <c r="J38" s="146"/>
      <c r="K38" s="170">
        <f t="shared" si="30"/>
        <v>0</v>
      </c>
      <c r="L38" s="8"/>
      <c r="M38" s="145"/>
      <c r="N38" s="92"/>
      <c r="O38" s="92"/>
      <c r="P38" s="92"/>
      <c r="Q38" s="92"/>
      <c r="R38" s="92"/>
      <c r="S38" s="92"/>
      <c r="T38" s="70">
        <f t="shared" si="19"/>
        <v>0</v>
      </c>
      <c r="U38" s="92"/>
      <c r="V38" s="92"/>
      <c r="W38" s="58">
        <f t="shared" si="27"/>
        <v>0</v>
      </c>
      <c r="X38" s="92"/>
      <c r="Y38" s="92"/>
      <c r="Z38" s="58">
        <f t="shared" si="31"/>
        <v>0</v>
      </c>
      <c r="AA38" s="93"/>
      <c r="AB38" s="93"/>
      <c r="AC38" s="58">
        <f t="shared" si="32"/>
        <v>0</v>
      </c>
      <c r="AD38" s="94"/>
      <c r="AE38" s="94"/>
      <c r="AF38" s="653"/>
      <c r="AG38" s="653"/>
      <c r="AH38" s="58">
        <f t="shared" si="24"/>
        <v>0</v>
      </c>
      <c r="AI38" s="651"/>
      <c r="AJ38" s="651"/>
      <c r="AK38" s="58">
        <f t="shared" si="25"/>
        <v>0</v>
      </c>
      <c r="AL38" s="95"/>
      <c r="AM38" s="70">
        <f t="shared" si="7"/>
        <v>0</v>
      </c>
      <c r="AN38" s="76"/>
      <c r="AO38" s="76"/>
      <c r="AP38" s="76"/>
      <c r="AQ38" s="76"/>
      <c r="AR38" s="76"/>
      <c r="AS38" s="74">
        <f t="shared" si="8"/>
        <v>0</v>
      </c>
      <c r="AU38" s="75"/>
      <c r="AV38" s="76"/>
      <c r="AW38" s="77"/>
      <c r="AX38" s="77"/>
      <c r="AY38" s="77"/>
      <c r="AZ38" s="77"/>
      <c r="BA38" s="77"/>
      <c r="BB38" s="215"/>
    </row>
    <row r="39" spans="1:54" ht="54" customHeight="1" thickBot="1">
      <c r="A39" s="1008">
        <v>5</v>
      </c>
      <c r="B39" s="991" t="s">
        <v>364</v>
      </c>
      <c r="C39" s="988">
        <v>5.1</v>
      </c>
      <c r="D39" s="994" t="s">
        <v>365</v>
      </c>
      <c r="E39" s="107" t="s">
        <v>60</v>
      </c>
      <c r="F39" s="115" t="s">
        <v>369</v>
      </c>
      <c r="G39" s="107" t="s">
        <v>810</v>
      </c>
      <c r="H39" s="130"/>
      <c r="I39" s="131"/>
      <c r="J39" s="131"/>
      <c r="K39" s="132">
        <f t="shared" si="30"/>
        <v>0</v>
      </c>
      <c r="L39" s="133"/>
      <c r="M39" s="133"/>
      <c r="N39" s="133"/>
      <c r="O39" s="133"/>
      <c r="P39" s="133"/>
      <c r="Q39" s="133"/>
      <c r="R39" s="133"/>
      <c r="S39" s="143"/>
      <c r="T39" s="70">
        <f t="shared" si="19"/>
        <v>0</v>
      </c>
      <c r="U39" s="71"/>
      <c r="V39" s="71"/>
      <c r="W39" s="70">
        <f t="shared" si="27"/>
        <v>0</v>
      </c>
      <c r="X39" s="71"/>
      <c r="Y39" s="71"/>
      <c r="Z39" s="58">
        <f t="shared" si="31"/>
        <v>0</v>
      </c>
      <c r="AA39" s="72"/>
      <c r="AB39" s="72"/>
      <c r="AC39" s="70">
        <f t="shared" si="32"/>
        <v>0</v>
      </c>
      <c r="AD39" s="70"/>
      <c r="AE39" s="70"/>
      <c r="AF39" s="91"/>
      <c r="AG39" s="91"/>
      <c r="AH39" s="70">
        <f t="shared" si="24"/>
        <v>0</v>
      </c>
      <c r="AI39" s="91"/>
      <c r="AJ39" s="91"/>
      <c r="AK39" s="70">
        <f t="shared" si="25"/>
        <v>0</v>
      </c>
      <c r="AL39" s="70"/>
      <c r="AM39" s="70">
        <f t="shared" si="7"/>
        <v>0</v>
      </c>
      <c r="AN39" s="76"/>
      <c r="AO39" s="76"/>
      <c r="AP39" s="76"/>
      <c r="AQ39" s="76"/>
      <c r="AR39" s="76"/>
      <c r="AS39" s="74">
        <f t="shared" si="8"/>
        <v>0</v>
      </c>
      <c r="AU39" s="985">
        <f aca="true" t="shared" si="34" ref="AU39:BA39">AM39+AM40</f>
        <v>0</v>
      </c>
      <c r="AV39" s="985">
        <f t="shared" si="34"/>
        <v>0</v>
      </c>
      <c r="AW39" s="985">
        <f t="shared" si="34"/>
        <v>0</v>
      </c>
      <c r="AX39" s="985">
        <f t="shared" si="34"/>
        <v>0</v>
      </c>
      <c r="AY39" s="985">
        <f t="shared" si="34"/>
        <v>0</v>
      </c>
      <c r="AZ39" s="985">
        <f t="shared" si="34"/>
        <v>0</v>
      </c>
      <c r="BA39" s="985">
        <f t="shared" si="34"/>
        <v>0</v>
      </c>
      <c r="BB39" s="215"/>
    </row>
    <row r="40" spans="1:54" ht="37.5" customHeight="1" thickBot="1">
      <c r="A40" s="1009"/>
      <c r="B40" s="992"/>
      <c r="C40" s="990"/>
      <c r="D40" s="995"/>
      <c r="E40" s="108" t="s">
        <v>61</v>
      </c>
      <c r="F40" s="111" t="s">
        <v>370</v>
      </c>
      <c r="G40" s="107" t="s">
        <v>811</v>
      </c>
      <c r="H40" s="37"/>
      <c r="I40" s="2"/>
      <c r="J40" s="2"/>
      <c r="K40" s="170">
        <f t="shared" si="30"/>
        <v>0</v>
      </c>
      <c r="L40" s="8"/>
      <c r="M40" s="8"/>
      <c r="N40" s="8"/>
      <c r="O40" s="8"/>
      <c r="P40" s="8"/>
      <c r="Q40" s="8"/>
      <c r="R40" s="8"/>
      <c r="S40" s="8"/>
      <c r="T40" s="70">
        <f t="shared" si="19"/>
        <v>0</v>
      </c>
      <c r="U40" s="39"/>
      <c r="V40" s="39"/>
      <c r="W40" s="58">
        <f t="shared" si="27"/>
        <v>0</v>
      </c>
      <c r="X40" s="39"/>
      <c r="Y40" s="39"/>
      <c r="Z40" s="58">
        <f t="shared" si="31"/>
        <v>0</v>
      </c>
      <c r="AA40" s="42"/>
      <c r="AB40" s="42"/>
      <c r="AC40" s="58">
        <f t="shared" si="32"/>
        <v>0</v>
      </c>
      <c r="AD40" s="58"/>
      <c r="AE40" s="58"/>
      <c r="AF40" s="651"/>
      <c r="AG40" s="651"/>
      <c r="AH40" s="58">
        <f t="shared" si="24"/>
        <v>0</v>
      </c>
      <c r="AI40" s="651"/>
      <c r="AJ40" s="651"/>
      <c r="AK40" s="58">
        <f t="shared" si="25"/>
        <v>0</v>
      </c>
      <c r="AL40" s="58"/>
      <c r="AM40" s="70">
        <f t="shared" si="7"/>
        <v>0</v>
      </c>
      <c r="AN40" s="76"/>
      <c r="AO40" s="76"/>
      <c r="AP40" s="76"/>
      <c r="AQ40" s="76"/>
      <c r="AR40" s="76"/>
      <c r="AS40" s="74">
        <f t="shared" si="8"/>
        <v>0</v>
      </c>
      <c r="AU40" s="984"/>
      <c r="AV40" s="984"/>
      <c r="AW40" s="984"/>
      <c r="AX40" s="984"/>
      <c r="AY40" s="984"/>
      <c r="AZ40" s="984"/>
      <c r="BA40" s="984"/>
      <c r="BB40" s="215"/>
    </row>
    <row r="41" spans="1:54" ht="45" customHeight="1" thickBot="1">
      <c r="A41" s="1009"/>
      <c r="B41" s="992"/>
      <c r="C41" s="118">
        <v>5.2</v>
      </c>
      <c r="D41" s="754" t="s">
        <v>366</v>
      </c>
      <c r="E41" s="107" t="s">
        <v>812</v>
      </c>
      <c r="F41" s="127" t="s">
        <v>371</v>
      </c>
      <c r="G41" s="107" t="s">
        <v>63</v>
      </c>
      <c r="H41" s="130"/>
      <c r="I41" s="131"/>
      <c r="J41" s="131"/>
      <c r="K41" s="132">
        <f t="shared" si="30"/>
        <v>0</v>
      </c>
      <c r="L41" s="133"/>
      <c r="M41" s="133"/>
      <c r="N41" s="133"/>
      <c r="O41" s="133"/>
      <c r="P41" s="133"/>
      <c r="Q41" s="133"/>
      <c r="R41" s="133"/>
      <c r="S41" s="143"/>
      <c r="T41" s="70">
        <f t="shared" si="19"/>
        <v>0</v>
      </c>
      <c r="U41" s="71"/>
      <c r="V41" s="71"/>
      <c r="W41" s="70">
        <f t="shared" si="27"/>
        <v>0</v>
      </c>
      <c r="X41" s="71"/>
      <c r="Y41" s="71"/>
      <c r="Z41" s="58">
        <f t="shared" si="31"/>
        <v>0</v>
      </c>
      <c r="AA41" s="72"/>
      <c r="AB41" s="72"/>
      <c r="AC41" s="70">
        <f t="shared" si="32"/>
        <v>0</v>
      </c>
      <c r="AD41" s="70"/>
      <c r="AE41" s="70"/>
      <c r="AF41" s="91"/>
      <c r="AG41" s="91"/>
      <c r="AH41" s="70">
        <f t="shared" si="24"/>
        <v>0</v>
      </c>
      <c r="AI41" s="91"/>
      <c r="AJ41" s="91"/>
      <c r="AK41" s="70">
        <f t="shared" si="25"/>
        <v>0</v>
      </c>
      <c r="AL41" s="70"/>
      <c r="AM41" s="70">
        <f t="shared" si="7"/>
        <v>0</v>
      </c>
      <c r="AN41" s="76"/>
      <c r="AO41" s="76"/>
      <c r="AP41" s="76"/>
      <c r="AQ41" s="76"/>
      <c r="AR41" s="76"/>
      <c r="AS41" s="74">
        <f t="shared" si="8"/>
        <v>0</v>
      </c>
      <c r="AU41" s="75">
        <f aca="true" t="shared" si="35" ref="AU41:BA41">AM41</f>
        <v>0</v>
      </c>
      <c r="AV41" s="75">
        <f t="shared" si="35"/>
        <v>0</v>
      </c>
      <c r="AW41" s="75">
        <f t="shared" si="35"/>
        <v>0</v>
      </c>
      <c r="AX41" s="75">
        <f t="shared" si="35"/>
        <v>0</v>
      </c>
      <c r="AY41" s="75">
        <f t="shared" si="35"/>
        <v>0</v>
      </c>
      <c r="AZ41" s="75">
        <f t="shared" si="35"/>
        <v>0</v>
      </c>
      <c r="BA41" s="75">
        <f t="shared" si="35"/>
        <v>0</v>
      </c>
      <c r="BB41" s="215"/>
    </row>
    <row r="42" spans="1:54" ht="55.5" customHeight="1" thickBot="1">
      <c r="A42" s="1009"/>
      <c r="B42" s="992"/>
      <c r="C42" s="988">
        <v>5.3</v>
      </c>
      <c r="D42" s="994" t="s">
        <v>367</v>
      </c>
      <c r="E42" s="107" t="s">
        <v>64</v>
      </c>
      <c r="F42" s="115" t="s">
        <v>372</v>
      </c>
      <c r="G42" s="107" t="s">
        <v>813</v>
      </c>
      <c r="H42" s="130">
        <v>1</v>
      </c>
      <c r="I42" s="131">
        <v>400</v>
      </c>
      <c r="J42" s="131">
        <v>60</v>
      </c>
      <c r="K42" s="132">
        <f t="shared" si="30"/>
        <v>24000</v>
      </c>
      <c r="L42" s="133"/>
      <c r="M42" s="133"/>
      <c r="N42" s="133"/>
      <c r="O42" s="133"/>
      <c r="P42" s="133"/>
      <c r="Q42" s="133"/>
      <c r="R42" s="133"/>
      <c r="S42" s="143"/>
      <c r="T42" s="70">
        <f t="shared" si="19"/>
        <v>0</v>
      </c>
      <c r="U42" s="71"/>
      <c r="V42" s="71"/>
      <c r="W42" s="70">
        <f t="shared" si="27"/>
        <v>0</v>
      </c>
      <c r="X42" s="71"/>
      <c r="Y42" s="71"/>
      <c r="Z42" s="58">
        <f t="shared" si="31"/>
        <v>0</v>
      </c>
      <c r="AA42" s="72">
        <v>200</v>
      </c>
      <c r="AB42" s="72">
        <v>20</v>
      </c>
      <c r="AC42" s="70">
        <f t="shared" si="32"/>
        <v>4000</v>
      </c>
      <c r="AD42" s="70"/>
      <c r="AE42" s="70"/>
      <c r="AF42" s="91"/>
      <c r="AG42" s="91"/>
      <c r="AH42" s="70">
        <f t="shared" si="24"/>
        <v>0</v>
      </c>
      <c r="AI42" s="91"/>
      <c r="AJ42" s="91"/>
      <c r="AK42" s="70">
        <f t="shared" si="25"/>
        <v>0</v>
      </c>
      <c r="AL42" s="70"/>
      <c r="AM42" s="70">
        <f t="shared" si="7"/>
        <v>28000</v>
      </c>
      <c r="AN42" s="76">
        <f>4000+9600</f>
        <v>13600</v>
      </c>
      <c r="AO42" s="76">
        <v>14400</v>
      </c>
      <c r="AP42" s="76"/>
      <c r="AQ42" s="76"/>
      <c r="AR42" s="76"/>
      <c r="AS42" s="74">
        <f t="shared" si="8"/>
        <v>0</v>
      </c>
      <c r="AU42" s="983">
        <f aca="true" t="shared" si="36" ref="AU42:BA42">AM42+AM43</f>
        <v>40500</v>
      </c>
      <c r="AV42" s="983">
        <f t="shared" si="36"/>
        <v>26100</v>
      </c>
      <c r="AW42" s="983">
        <f t="shared" si="36"/>
        <v>14400</v>
      </c>
      <c r="AX42" s="983">
        <f t="shared" si="36"/>
        <v>0</v>
      </c>
      <c r="AY42" s="983">
        <f t="shared" si="36"/>
        <v>0</v>
      </c>
      <c r="AZ42" s="983">
        <f t="shared" si="36"/>
        <v>0</v>
      </c>
      <c r="BA42" s="983">
        <f t="shared" si="36"/>
        <v>0</v>
      </c>
      <c r="BB42" s="215"/>
    </row>
    <row r="43" spans="1:54" ht="60.75" customHeight="1" thickBot="1">
      <c r="A43" s="1009"/>
      <c r="B43" s="992"/>
      <c r="C43" s="989"/>
      <c r="D43" s="996"/>
      <c r="E43" s="108" t="s">
        <v>65</v>
      </c>
      <c r="F43" s="108" t="s">
        <v>373</v>
      </c>
      <c r="G43" s="107" t="s">
        <v>814</v>
      </c>
      <c r="H43" s="37"/>
      <c r="I43" s="2"/>
      <c r="J43" s="2"/>
      <c r="K43" s="170">
        <f t="shared" si="30"/>
        <v>0</v>
      </c>
      <c r="L43" s="8"/>
      <c r="M43" s="8"/>
      <c r="N43" s="8"/>
      <c r="O43" s="8"/>
      <c r="P43" s="8"/>
      <c r="Q43" s="8"/>
      <c r="R43" s="8"/>
      <c r="S43" s="8"/>
      <c r="T43" s="70">
        <f t="shared" si="19"/>
        <v>0</v>
      </c>
      <c r="U43" s="39"/>
      <c r="V43" s="39"/>
      <c r="W43" s="58">
        <f>U43*V43</f>
        <v>0</v>
      </c>
      <c r="X43" s="39"/>
      <c r="Y43" s="39"/>
      <c r="Z43" s="58">
        <f t="shared" si="31"/>
        <v>0</v>
      </c>
      <c r="AA43" s="42"/>
      <c r="AB43" s="42"/>
      <c r="AC43" s="58">
        <f t="shared" si="32"/>
        <v>0</v>
      </c>
      <c r="AD43" s="58"/>
      <c r="AE43" s="58"/>
      <c r="AF43" s="651">
        <v>10</v>
      </c>
      <c r="AG43" s="651">
        <v>900</v>
      </c>
      <c r="AH43" s="58">
        <f>AF43*AG43</f>
        <v>9000</v>
      </c>
      <c r="AI43" s="651">
        <v>10</v>
      </c>
      <c r="AJ43" s="651">
        <v>350</v>
      </c>
      <c r="AK43" s="58">
        <f>AI43*AJ43</f>
        <v>3500</v>
      </c>
      <c r="AL43" s="58"/>
      <c r="AM43" s="70">
        <f t="shared" si="7"/>
        <v>12500</v>
      </c>
      <c r="AN43" s="76">
        <v>12500</v>
      </c>
      <c r="AO43" s="76"/>
      <c r="AP43" s="76"/>
      <c r="AQ43" s="76"/>
      <c r="AR43" s="76"/>
      <c r="AS43" s="74">
        <f t="shared" si="8"/>
        <v>0</v>
      </c>
      <c r="AU43" s="984"/>
      <c r="AV43" s="984"/>
      <c r="AW43" s="984"/>
      <c r="AX43" s="984"/>
      <c r="AY43" s="984"/>
      <c r="AZ43" s="984"/>
      <c r="BA43" s="984"/>
      <c r="BB43" s="215"/>
    </row>
    <row r="44" spans="1:54" ht="63.75" customHeight="1">
      <c r="A44" s="1010"/>
      <c r="B44" s="993"/>
      <c r="C44" s="122">
        <v>5.4</v>
      </c>
      <c r="D44" s="107" t="s">
        <v>368</v>
      </c>
      <c r="E44" s="108" t="s">
        <v>66</v>
      </c>
      <c r="F44" s="108" t="s">
        <v>374</v>
      </c>
      <c r="G44" s="107" t="s">
        <v>815</v>
      </c>
      <c r="H44" s="37"/>
      <c r="I44" s="37"/>
      <c r="J44" s="37"/>
      <c r="K44" s="170"/>
      <c r="L44" s="8"/>
      <c r="M44" s="8"/>
      <c r="N44" s="39"/>
      <c r="O44" s="39"/>
      <c r="P44" s="39"/>
      <c r="Q44" s="39"/>
      <c r="R44" s="39"/>
      <c r="S44" s="39"/>
      <c r="T44" s="70">
        <f t="shared" si="19"/>
        <v>0</v>
      </c>
      <c r="U44" s="39"/>
      <c r="V44" s="39"/>
      <c r="W44" s="58"/>
      <c r="X44" s="39"/>
      <c r="Y44" s="39"/>
      <c r="Z44" s="58"/>
      <c r="AA44" s="42"/>
      <c r="AB44" s="42"/>
      <c r="AC44" s="58"/>
      <c r="AD44" s="58">
        <v>70000</v>
      </c>
      <c r="AE44" s="58"/>
      <c r="AF44" s="651"/>
      <c r="AG44" s="651"/>
      <c r="AH44" s="58"/>
      <c r="AI44" s="651"/>
      <c r="AJ44" s="651"/>
      <c r="AK44" s="58">
        <f>AI44*AJ44</f>
        <v>0</v>
      </c>
      <c r="AL44" s="58"/>
      <c r="AM44" s="70">
        <f t="shared" si="7"/>
        <v>70000</v>
      </c>
      <c r="AN44" s="76">
        <v>70000</v>
      </c>
      <c r="AO44" s="76"/>
      <c r="AP44" s="76"/>
      <c r="AQ44" s="76"/>
      <c r="AR44" s="76"/>
      <c r="AS44" s="74">
        <f t="shared" si="8"/>
        <v>0</v>
      </c>
      <c r="AU44" s="100">
        <f aca="true" t="shared" si="37" ref="AU44:BA44">AM44</f>
        <v>70000</v>
      </c>
      <c r="AV44" s="100">
        <f t="shared" si="37"/>
        <v>70000</v>
      </c>
      <c r="AW44" s="100">
        <f t="shared" si="37"/>
        <v>0</v>
      </c>
      <c r="AX44" s="100">
        <f t="shared" si="37"/>
        <v>0</v>
      </c>
      <c r="AY44" s="100">
        <f t="shared" si="37"/>
        <v>0</v>
      </c>
      <c r="AZ44" s="100">
        <f t="shared" si="37"/>
        <v>0</v>
      </c>
      <c r="BA44" s="100">
        <f t="shared" si="37"/>
        <v>0</v>
      </c>
      <c r="BB44" s="217"/>
    </row>
    <row r="45" spans="2:53" ht="24" customHeight="1">
      <c r="B45" s="124"/>
      <c r="C45" s="124"/>
      <c r="D45" s="124"/>
      <c r="E45" s="124"/>
      <c r="F45" s="125"/>
      <c r="G45" s="125"/>
      <c r="H45" s="126"/>
      <c r="I45" s="126"/>
      <c r="J45" s="126"/>
      <c r="K45" s="126">
        <f>SUM(K8:K44)</f>
        <v>72000</v>
      </c>
      <c r="L45" s="126"/>
      <c r="M45" s="126"/>
      <c r="N45" s="126"/>
      <c r="O45" s="126"/>
      <c r="P45" s="126"/>
      <c r="Q45" s="126"/>
      <c r="R45" s="126"/>
      <c r="S45" s="126"/>
      <c r="T45" s="126">
        <f>SUM(T8:T44)</f>
        <v>501435</v>
      </c>
      <c r="U45" s="126"/>
      <c r="V45" s="126"/>
      <c r="W45" s="126">
        <f>SUM(W8:W44)</f>
        <v>15630</v>
      </c>
      <c r="X45" s="126"/>
      <c r="Y45" s="126"/>
      <c r="Z45" s="126">
        <f>SUM(Z8:Z44)</f>
        <v>124587</v>
      </c>
      <c r="AA45" s="126"/>
      <c r="AB45" s="126"/>
      <c r="AC45" s="126">
        <f>SUM(AC8:AC44)</f>
        <v>4000</v>
      </c>
      <c r="AD45" s="126">
        <f>SUM(AD8:AD44)</f>
        <v>70000</v>
      </c>
      <c r="AE45" s="126">
        <f>SUM(AE8:AE44)</f>
        <v>70000</v>
      </c>
      <c r="AF45" s="126"/>
      <c r="AG45" s="126"/>
      <c r="AH45" s="126">
        <f>SUM(AH8:AH44)</f>
        <v>39000</v>
      </c>
      <c r="AI45" s="126"/>
      <c r="AJ45" s="126"/>
      <c r="AK45" s="126">
        <f>SUM(AK8:AK44)</f>
        <v>16000</v>
      </c>
      <c r="AL45" s="126">
        <f>SUM(AL8:AL44)</f>
        <v>76479</v>
      </c>
      <c r="AM45" s="126">
        <f>SUM(AM8:AM44)</f>
        <v>989131</v>
      </c>
      <c r="AN45" s="126">
        <f aca="true" t="shared" si="38" ref="AN45:AS45">SUM(AN8:AN44)</f>
        <v>317106.515</v>
      </c>
      <c r="AO45" s="126">
        <f t="shared" si="38"/>
        <v>672024.25</v>
      </c>
      <c r="AP45" s="126">
        <f t="shared" si="38"/>
        <v>0</v>
      </c>
      <c r="AQ45" s="126">
        <f t="shared" si="38"/>
        <v>0</v>
      </c>
      <c r="AR45" s="126">
        <f t="shared" si="38"/>
        <v>0</v>
      </c>
      <c r="AS45" s="126">
        <f t="shared" si="38"/>
        <v>0.2349999999796637</v>
      </c>
      <c r="AT45" s="126"/>
      <c r="AU45" s="126">
        <f>SUM(AU8:AU44)</f>
        <v>989131</v>
      </c>
      <c r="AV45" s="126">
        <f>SUM(AV8:AV44)</f>
        <v>317106.515</v>
      </c>
      <c r="AW45" s="126">
        <f>SUM(AW8:AW44)</f>
        <v>672024.25</v>
      </c>
      <c r="AX45" s="126"/>
      <c r="AY45" s="126"/>
      <c r="AZ45" s="126">
        <f>SUM(AZ8:AZ44)</f>
        <v>0</v>
      </c>
      <c r="BA45" s="126">
        <f>SUM(BA8:BA44)</f>
        <v>0.2349999999796637</v>
      </c>
    </row>
    <row r="46" ht="16.5" customHeight="1">
      <c r="BA46" s="218">
        <f>AS45-BA45</f>
        <v>0</v>
      </c>
    </row>
    <row r="47" spans="42:50" ht="16.5" customHeight="1">
      <c r="AP47" s="35">
        <f>AN45+AO45+AP45+AQ45+AR45+AS45</f>
        <v>989131</v>
      </c>
      <c r="AX47" s="35">
        <f>AV45+AW45+BA45</f>
        <v>989131</v>
      </c>
    </row>
    <row r="52" ht="16.5" customHeight="1">
      <c r="AN52" s="35" t="s">
        <v>816</v>
      </c>
    </row>
  </sheetData>
  <sheetProtection/>
  <mergeCells count="149">
    <mergeCell ref="E4:F6"/>
    <mergeCell ref="B2:Q2"/>
    <mergeCell ref="A3:F3"/>
    <mergeCell ref="H3:K3"/>
    <mergeCell ref="L3:AC3"/>
    <mergeCell ref="A4:A6"/>
    <mergeCell ref="G5:G6"/>
    <mergeCell ref="U5:W5"/>
    <mergeCell ref="AM3:AM6"/>
    <mergeCell ref="X5:Z5"/>
    <mergeCell ref="AE5:AE6"/>
    <mergeCell ref="H4:K5"/>
    <mergeCell ref="AS18:AS20"/>
    <mergeCell ref="AW18:AW20"/>
    <mergeCell ref="AN3:AS5"/>
    <mergeCell ref="AO18:AO20"/>
    <mergeCell ref="AU8:AU9"/>
    <mergeCell ref="AV8:AV9"/>
    <mergeCell ref="C18:C20"/>
    <mergeCell ref="AU3:BA5"/>
    <mergeCell ref="D15:D17"/>
    <mergeCell ref="BA8:BA9"/>
    <mergeCell ref="AU13:AU14"/>
    <mergeCell ref="D8:D9"/>
    <mergeCell ref="C8:C9"/>
    <mergeCell ref="AS15:AS17"/>
    <mergeCell ref="AU18:AU20"/>
    <mergeCell ref="AX15:AX17"/>
    <mergeCell ref="C35:C36"/>
    <mergeCell ref="A15:A25"/>
    <mergeCell ref="C13:C14"/>
    <mergeCell ref="AF5:AH5"/>
    <mergeCell ref="C21:C22"/>
    <mergeCell ref="L4:T5"/>
    <mergeCell ref="AD5:AD6"/>
    <mergeCell ref="AD3:AK4"/>
    <mergeCell ref="B4:B6"/>
    <mergeCell ref="C4:D6"/>
    <mergeCell ref="A8:A14"/>
    <mergeCell ref="AL3:AL6"/>
    <mergeCell ref="AY8:AY9"/>
    <mergeCell ref="AX13:AX14"/>
    <mergeCell ref="AY13:AY14"/>
    <mergeCell ref="AI5:AK5"/>
    <mergeCell ref="D13:D14"/>
    <mergeCell ref="AA4:AC5"/>
    <mergeCell ref="B8:B14"/>
    <mergeCell ref="U4:Z4"/>
    <mergeCell ref="A39:A44"/>
    <mergeCell ref="A26:A32"/>
    <mergeCell ref="C29:C32"/>
    <mergeCell ref="C23:C25"/>
    <mergeCell ref="C15:C17"/>
    <mergeCell ref="B15:B25"/>
    <mergeCell ref="C26:C28"/>
    <mergeCell ref="A33:A38"/>
    <mergeCell ref="C33:C34"/>
    <mergeCell ref="B26:B32"/>
    <mergeCell ref="D21:D22"/>
    <mergeCell ref="D23:D25"/>
    <mergeCell ref="D33:D34"/>
    <mergeCell ref="D35:D36"/>
    <mergeCell ref="D37:D38"/>
    <mergeCell ref="D29:D32"/>
    <mergeCell ref="D26:D28"/>
    <mergeCell ref="C42:C43"/>
    <mergeCell ref="C39:C40"/>
    <mergeCell ref="B39:B44"/>
    <mergeCell ref="D39:D40"/>
    <mergeCell ref="D42:D43"/>
    <mergeCell ref="AR15:AR17"/>
    <mergeCell ref="B33:B38"/>
    <mergeCell ref="AO15:AO17"/>
    <mergeCell ref="D18:D20"/>
    <mergeCell ref="C37:C38"/>
    <mergeCell ref="BA13:BA14"/>
    <mergeCell ref="AU15:AU17"/>
    <mergeCell ref="AV15:AV17"/>
    <mergeCell ref="AW15:AW17"/>
    <mergeCell ref="AZ15:AZ17"/>
    <mergeCell ref="BA15:BA17"/>
    <mergeCell ref="AV13:AV14"/>
    <mergeCell ref="AY15:AY17"/>
    <mergeCell ref="AZ8:AZ9"/>
    <mergeCell ref="AV26:AV28"/>
    <mergeCell ref="AW26:AW28"/>
    <mergeCell ref="AZ26:AZ28"/>
    <mergeCell ref="AW8:AW9"/>
    <mergeCell ref="AX8:AX9"/>
    <mergeCell ref="AW13:AW14"/>
    <mergeCell ref="AZ13:AZ14"/>
    <mergeCell ref="BA26:BA28"/>
    <mergeCell ref="BA18:BA20"/>
    <mergeCell ref="BA21:BA22"/>
    <mergeCell ref="AZ23:AZ25"/>
    <mergeCell ref="AY23:AY25"/>
    <mergeCell ref="AX23:AX25"/>
    <mergeCell ref="AU21:AU22"/>
    <mergeCell ref="AV21:AV22"/>
    <mergeCell ref="AW21:AW22"/>
    <mergeCell ref="AZ21:AZ22"/>
    <mergeCell ref="AV18:AV20"/>
    <mergeCell ref="AZ18:AZ20"/>
    <mergeCell ref="AY18:AY20"/>
    <mergeCell ref="AX21:AX22"/>
    <mergeCell ref="AY21:AY22"/>
    <mergeCell ref="AX18:AX20"/>
    <mergeCell ref="AZ33:AZ34"/>
    <mergeCell ref="BA33:BA34"/>
    <mergeCell ref="AU23:AU25"/>
    <mergeCell ref="AV23:AV25"/>
    <mergeCell ref="AW23:AW25"/>
    <mergeCell ref="AX29:AX32"/>
    <mergeCell ref="AU29:AU32"/>
    <mergeCell ref="BA23:BA25"/>
    <mergeCell ref="AZ29:AZ32"/>
    <mergeCell ref="BA29:BA32"/>
    <mergeCell ref="AY29:AY32"/>
    <mergeCell ref="AX26:AX28"/>
    <mergeCell ref="AY26:AY28"/>
    <mergeCell ref="AX42:AX43"/>
    <mergeCell ref="AY42:AY43"/>
    <mergeCell ref="AU39:AU40"/>
    <mergeCell ref="AV29:AV32"/>
    <mergeCell ref="AX33:AX34"/>
    <mergeCell ref="AY33:AY34"/>
    <mergeCell ref="AW29:AW32"/>
    <mergeCell ref="AU33:AU34"/>
    <mergeCell ref="AV33:AV34"/>
    <mergeCell ref="AW33:AW34"/>
    <mergeCell ref="AU42:AU43"/>
    <mergeCell ref="AV42:AV43"/>
    <mergeCell ref="AW42:AW43"/>
    <mergeCell ref="AZ42:AZ43"/>
    <mergeCell ref="AU26:AU28"/>
    <mergeCell ref="BA42:BA43"/>
    <mergeCell ref="AU35:AU36"/>
    <mergeCell ref="AV35:AV36"/>
    <mergeCell ref="AW35:AW36"/>
    <mergeCell ref="AZ35:AZ36"/>
    <mergeCell ref="BA39:BA40"/>
    <mergeCell ref="AX39:AX40"/>
    <mergeCell ref="AY39:AY40"/>
    <mergeCell ref="AX35:AX36"/>
    <mergeCell ref="AY35:AY36"/>
    <mergeCell ref="AV39:AV40"/>
    <mergeCell ref="AW39:AW40"/>
    <mergeCell ref="AZ39:AZ40"/>
    <mergeCell ref="BA35:BA36"/>
  </mergeCells>
  <printOp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dimension ref="A1:AW95"/>
  <sheetViews>
    <sheetView zoomScale="160" zoomScaleNormal="160" zoomScalePageLayoutView="0" workbookViewId="0" topLeftCell="E1">
      <selection activeCell="I3" sqref="I3:L3"/>
    </sheetView>
  </sheetViews>
  <sheetFormatPr defaultColWidth="9.28125" defaultRowHeight="15"/>
  <cols>
    <col min="1" max="1" width="6.28125" style="23" customWidth="1"/>
    <col min="2" max="2" width="2.7109375" style="24" customWidth="1"/>
    <col min="3" max="3" width="4.7109375" style="23" customWidth="1"/>
    <col min="4" max="4" width="23.28125" style="542" customWidth="1"/>
    <col min="5" max="5" width="6.7109375" style="543" customWidth="1"/>
    <col min="6" max="6" width="30.28125" style="544" customWidth="1"/>
    <col min="7" max="7" width="14.7109375" style="147" customWidth="1"/>
    <col min="8" max="8" width="19.421875" style="147" hidden="1" customWidth="1"/>
    <col min="9" max="9" width="5.7109375" style="545" customWidth="1"/>
    <col min="10" max="10" width="7.7109375" style="546" customWidth="1"/>
    <col min="11" max="11" width="7.28125" style="546" customWidth="1"/>
    <col min="12" max="12" width="9.7109375" style="545" customWidth="1"/>
    <col min="13" max="13" width="11.7109375" style="547" customWidth="1"/>
    <col min="14" max="14" width="9.57421875" style="547" customWidth="1"/>
    <col min="15" max="15" width="10.7109375" style="547" customWidth="1"/>
    <col min="16" max="16" width="11.7109375" style="547" customWidth="1"/>
    <col min="17" max="17" width="14.28125" style="547" customWidth="1"/>
    <col min="18" max="18" width="12.28125" style="547" customWidth="1"/>
    <col min="19" max="19" width="11.57421875" style="547" customWidth="1"/>
    <col min="20" max="20" width="12.7109375" style="547" customWidth="1"/>
    <col min="21" max="21" width="10.7109375" style="548" customWidth="1"/>
    <col min="22" max="22" width="8.00390625" style="548" customWidth="1"/>
    <col min="23" max="23" width="8.57421875" style="548" customWidth="1"/>
    <col min="24" max="24" width="11.7109375" style="548" customWidth="1"/>
    <col min="25" max="25" width="14.00390625" style="549" customWidth="1"/>
    <col min="26" max="26" width="11.00390625" style="549" customWidth="1"/>
    <col min="27" max="27" width="12.7109375" style="549" customWidth="1"/>
    <col min="28" max="28" width="10.57421875" style="549" customWidth="1"/>
    <col min="29" max="29" width="10.28125" style="549" customWidth="1"/>
    <col min="30" max="30" width="15.57421875" style="549" customWidth="1"/>
    <col min="31" max="32" width="15.28125" style="549" customWidth="1"/>
    <col min="33" max="33" width="7.28125" style="549" customWidth="1"/>
    <col min="34" max="34" width="13.28125" style="549" customWidth="1"/>
    <col min="35" max="35" width="9.28125" style="549" customWidth="1"/>
    <col min="36" max="36" width="6.7109375" style="549" customWidth="1"/>
    <col min="37" max="37" width="11.00390625" style="549" customWidth="1"/>
    <col min="38" max="38" width="10.7109375" style="549" customWidth="1"/>
    <col min="39" max="39" width="13.57421875" style="550" customWidth="1"/>
    <col min="40" max="40" width="16.421875" style="549" customWidth="1"/>
    <col min="41" max="41" width="12.421875" style="549" customWidth="1"/>
    <col min="42" max="45" width="10.28125" style="549" customWidth="1"/>
    <col min="46" max="46" width="12.28125" style="551" customWidth="1"/>
    <col min="47" max="16384" width="9.28125" style="23" customWidth="1"/>
  </cols>
  <sheetData>
    <row r="1" spans="2:46" s="55" customFormat="1" ht="11.25">
      <c r="B1" s="57"/>
      <c r="D1" s="201"/>
      <c r="E1" s="516"/>
      <c r="F1" s="517"/>
      <c r="G1" s="129"/>
      <c r="H1" s="129"/>
      <c r="I1" s="518"/>
      <c r="J1" s="519"/>
      <c r="K1" s="519"/>
      <c r="L1" s="518"/>
      <c r="M1" s="520"/>
      <c r="N1" s="520"/>
      <c r="O1" s="520"/>
      <c r="P1" s="520"/>
      <c r="Q1" s="520"/>
      <c r="R1" s="520"/>
      <c r="S1" s="520"/>
      <c r="T1" s="520"/>
      <c r="U1" s="521"/>
      <c r="V1" s="521"/>
      <c r="W1" s="521"/>
      <c r="X1" s="521"/>
      <c r="Y1" s="522"/>
      <c r="Z1" s="522"/>
      <c r="AA1" s="522"/>
      <c r="AB1" s="522"/>
      <c r="AC1" s="522"/>
      <c r="AD1" s="522"/>
      <c r="AE1" s="522"/>
      <c r="AF1" s="522"/>
      <c r="AG1" s="522"/>
      <c r="AH1" s="522"/>
      <c r="AI1" s="522"/>
      <c r="AJ1" s="522"/>
      <c r="AK1" s="522"/>
      <c r="AL1" s="522"/>
      <c r="AM1" s="523"/>
      <c r="AN1" s="522"/>
      <c r="AO1" s="522"/>
      <c r="AP1" s="522"/>
      <c r="AQ1" s="522"/>
      <c r="AR1" s="522"/>
      <c r="AS1" s="522"/>
      <c r="AT1" s="524"/>
    </row>
    <row r="2" spans="1:46" s="55" customFormat="1" ht="11.25">
      <c r="A2" s="56"/>
      <c r="B2" s="1107" t="s">
        <v>1209</v>
      </c>
      <c r="C2" s="1107"/>
      <c r="D2" s="1107"/>
      <c r="E2" s="1107"/>
      <c r="F2" s="1107"/>
      <c r="G2" s="1107"/>
      <c r="H2" s="1107"/>
      <c r="I2" s="1107"/>
      <c r="J2" s="1107"/>
      <c r="K2" s="1107"/>
      <c r="L2" s="1107"/>
      <c r="M2" s="1107"/>
      <c r="N2" s="1107"/>
      <c r="O2" s="1107"/>
      <c r="P2" s="1107"/>
      <c r="Q2" s="1107"/>
      <c r="R2" s="1107"/>
      <c r="S2" s="56"/>
      <c r="T2" s="56"/>
      <c r="U2" s="56"/>
      <c r="V2" s="56"/>
      <c r="W2" s="56"/>
      <c r="X2" s="56"/>
      <c r="Y2" s="56"/>
      <c r="Z2" s="56"/>
      <c r="AA2" s="56"/>
      <c r="AB2" s="56"/>
      <c r="AC2" s="56"/>
      <c r="AD2" s="56"/>
      <c r="AE2" s="56"/>
      <c r="AF2" s="56"/>
      <c r="AG2" s="56"/>
      <c r="AH2" s="56"/>
      <c r="AI2" s="56"/>
      <c r="AJ2" s="56"/>
      <c r="AK2" s="56"/>
      <c r="AL2" s="56"/>
      <c r="AM2" s="56"/>
      <c r="AN2" s="522"/>
      <c r="AO2" s="522"/>
      <c r="AP2" s="522"/>
      <c r="AQ2" s="522"/>
      <c r="AR2" s="522"/>
      <c r="AS2" s="522"/>
      <c r="AT2" s="524"/>
    </row>
    <row r="3" spans="1:46" s="525" customFormat="1" ht="27.75" customHeight="1">
      <c r="A3" s="1103"/>
      <c r="B3" s="1103"/>
      <c r="C3" s="1103"/>
      <c r="D3" s="1103"/>
      <c r="E3" s="1103"/>
      <c r="F3" s="1103"/>
      <c r="G3" s="644"/>
      <c r="H3" s="644"/>
      <c r="I3" s="1108" t="s">
        <v>1268</v>
      </c>
      <c r="J3" s="1109"/>
      <c r="K3" s="1109"/>
      <c r="L3" s="1110"/>
      <c r="M3" s="1111" t="s">
        <v>378</v>
      </c>
      <c r="N3" s="1111"/>
      <c r="O3" s="1111"/>
      <c r="P3" s="1111"/>
      <c r="Q3" s="1111"/>
      <c r="R3" s="1111"/>
      <c r="S3" s="1111"/>
      <c r="T3" s="1111"/>
      <c r="U3" s="1111"/>
      <c r="V3" s="1111"/>
      <c r="W3" s="1111"/>
      <c r="X3" s="1111"/>
      <c r="Y3" s="1111"/>
      <c r="Z3" s="1111"/>
      <c r="AA3" s="1111"/>
      <c r="AB3" s="1111"/>
      <c r="AC3" s="1111"/>
      <c r="AD3" s="1111"/>
      <c r="AE3" s="1100" t="s">
        <v>817</v>
      </c>
      <c r="AF3" s="1100"/>
      <c r="AG3" s="1100"/>
      <c r="AH3" s="1100"/>
      <c r="AI3" s="1100"/>
      <c r="AJ3" s="1100"/>
      <c r="AK3" s="1100"/>
      <c r="AL3" s="1100"/>
      <c r="AM3" s="1100" t="s">
        <v>381</v>
      </c>
      <c r="AN3" s="1100" t="s">
        <v>818</v>
      </c>
      <c r="AO3" s="1100" t="s">
        <v>819</v>
      </c>
      <c r="AP3" s="1100"/>
      <c r="AQ3" s="1100"/>
      <c r="AR3" s="1100"/>
      <c r="AS3" s="1100"/>
      <c r="AT3" s="1100"/>
    </row>
    <row r="4" spans="1:46" s="526" customFormat="1" ht="11.25" customHeight="1">
      <c r="A4" s="1103" t="s">
        <v>820</v>
      </c>
      <c r="B4" s="1103"/>
      <c r="C4" s="1103" t="s">
        <v>821</v>
      </c>
      <c r="D4" s="1103"/>
      <c r="E4" s="1103" t="s">
        <v>822</v>
      </c>
      <c r="F4" s="1103"/>
      <c r="G4" s="644"/>
      <c r="H4" s="644"/>
      <c r="I4" s="1053" t="s">
        <v>823</v>
      </c>
      <c r="J4" s="1101"/>
      <c r="K4" s="1101"/>
      <c r="L4" s="1054"/>
      <c r="M4" s="1103" t="s">
        <v>824</v>
      </c>
      <c r="N4" s="1103"/>
      <c r="O4" s="1103"/>
      <c r="P4" s="1103"/>
      <c r="Q4" s="1103"/>
      <c r="R4" s="1103"/>
      <c r="S4" s="1103"/>
      <c r="T4" s="1103"/>
      <c r="U4" s="1103"/>
      <c r="V4" s="1104" t="s">
        <v>825</v>
      </c>
      <c r="W4" s="1105"/>
      <c r="X4" s="1105"/>
      <c r="Y4" s="1105"/>
      <c r="Z4" s="1105"/>
      <c r="AA4" s="1106"/>
      <c r="AB4" s="1100" t="s">
        <v>826</v>
      </c>
      <c r="AC4" s="1100"/>
      <c r="AD4" s="1100"/>
      <c r="AE4" s="1100"/>
      <c r="AF4" s="1100"/>
      <c r="AG4" s="1100"/>
      <c r="AH4" s="1100"/>
      <c r="AI4" s="1100"/>
      <c r="AJ4" s="1100"/>
      <c r="AK4" s="1100"/>
      <c r="AL4" s="1100"/>
      <c r="AM4" s="1100"/>
      <c r="AN4" s="1100"/>
      <c r="AO4" s="1100"/>
      <c r="AP4" s="1100"/>
      <c r="AQ4" s="1100"/>
      <c r="AR4" s="1100"/>
      <c r="AS4" s="1100"/>
      <c r="AT4" s="1100"/>
    </row>
    <row r="5" spans="1:46" s="526" customFormat="1" ht="9.75" customHeight="1">
      <c r="A5" s="1103"/>
      <c r="B5" s="1103"/>
      <c r="C5" s="1103"/>
      <c r="D5" s="1103"/>
      <c r="E5" s="1103"/>
      <c r="F5" s="1103"/>
      <c r="G5" s="1103" t="s">
        <v>827</v>
      </c>
      <c r="H5" s="644"/>
      <c r="I5" s="1057"/>
      <c r="J5" s="1102"/>
      <c r="K5" s="1102"/>
      <c r="L5" s="1058"/>
      <c r="M5" s="1103"/>
      <c r="N5" s="1103"/>
      <c r="O5" s="1103"/>
      <c r="P5" s="1103"/>
      <c r="Q5" s="1103"/>
      <c r="R5" s="1103"/>
      <c r="S5" s="1103"/>
      <c r="T5" s="1103"/>
      <c r="U5" s="1103"/>
      <c r="V5" s="1104" t="s">
        <v>828</v>
      </c>
      <c r="W5" s="1105"/>
      <c r="X5" s="1106"/>
      <c r="Y5" s="1104" t="s">
        <v>829</v>
      </c>
      <c r="Z5" s="1105"/>
      <c r="AA5" s="1106"/>
      <c r="AB5" s="1100"/>
      <c r="AC5" s="1100"/>
      <c r="AD5" s="1100"/>
      <c r="AE5" s="1100" t="s">
        <v>830</v>
      </c>
      <c r="AF5" s="1100" t="s">
        <v>831</v>
      </c>
      <c r="AG5" s="1104" t="s">
        <v>832</v>
      </c>
      <c r="AH5" s="1105"/>
      <c r="AI5" s="1106"/>
      <c r="AJ5" s="1104" t="s">
        <v>833</v>
      </c>
      <c r="AK5" s="1105"/>
      <c r="AL5" s="1106"/>
      <c r="AM5" s="1100"/>
      <c r="AN5" s="1100"/>
      <c r="AO5" s="1100"/>
      <c r="AP5" s="1100"/>
      <c r="AQ5" s="1100"/>
      <c r="AR5" s="1100"/>
      <c r="AS5" s="1100"/>
      <c r="AT5" s="1100"/>
    </row>
    <row r="6" spans="1:46" s="526" customFormat="1" ht="18" customHeight="1">
      <c r="A6" s="1103"/>
      <c r="B6" s="1103"/>
      <c r="C6" s="1103"/>
      <c r="D6" s="1103"/>
      <c r="E6" s="1103"/>
      <c r="F6" s="1103"/>
      <c r="G6" s="1103"/>
      <c r="H6" s="644"/>
      <c r="I6" s="756"/>
      <c r="J6" s="756"/>
      <c r="K6" s="756"/>
      <c r="L6" s="756"/>
      <c r="M6" s="644"/>
      <c r="N6" s="644"/>
      <c r="O6" s="644"/>
      <c r="P6" s="644"/>
      <c r="Q6" s="644"/>
      <c r="R6" s="644"/>
      <c r="S6" s="644"/>
      <c r="T6" s="644"/>
      <c r="U6" s="644"/>
      <c r="V6" s="645"/>
      <c r="W6" s="645"/>
      <c r="X6" s="645"/>
      <c r="Y6" s="645"/>
      <c r="Z6" s="645"/>
      <c r="AA6" s="645"/>
      <c r="AB6" s="1100"/>
      <c r="AC6" s="1100"/>
      <c r="AD6" s="1100"/>
      <c r="AE6" s="1100"/>
      <c r="AF6" s="1100"/>
      <c r="AG6" s="645"/>
      <c r="AH6" s="645"/>
      <c r="AI6" s="645"/>
      <c r="AJ6" s="645"/>
      <c r="AK6" s="645"/>
      <c r="AL6" s="645"/>
      <c r="AM6" s="1100"/>
      <c r="AN6" s="1100"/>
      <c r="AO6" s="645"/>
      <c r="AP6" s="1100" t="s">
        <v>382</v>
      </c>
      <c r="AQ6" s="1100"/>
      <c r="AR6" s="1100"/>
      <c r="AS6" s="1100"/>
      <c r="AT6" s="645"/>
    </row>
    <row r="7" spans="1:46" s="69" customFormat="1" ht="33.75">
      <c r="A7" s="1103"/>
      <c r="B7" s="1103"/>
      <c r="C7" s="1103"/>
      <c r="D7" s="1103"/>
      <c r="E7" s="1103"/>
      <c r="F7" s="1103"/>
      <c r="G7" s="1112"/>
      <c r="H7" s="646" t="s">
        <v>67</v>
      </c>
      <c r="I7" s="645" t="s">
        <v>834</v>
      </c>
      <c r="J7" s="644" t="s">
        <v>835</v>
      </c>
      <c r="K7" s="644" t="s">
        <v>836</v>
      </c>
      <c r="L7" s="644" t="s">
        <v>837</v>
      </c>
      <c r="M7" s="644" t="s">
        <v>838</v>
      </c>
      <c r="N7" s="644" t="s">
        <v>839</v>
      </c>
      <c r="O7" s="644" t="s">
        <v>840</v>
      </c>
      <c r="P7" s="644" t="s">
        <v>841</v>
      </c>
      <c r="Q7" s="644" t="s">
        <v>376</v>
      </c>
      <c r="R7" s="644" t="s">
        <v>377</v>
      </c>
      <c r="S7" s="644" t="s">
        <v>842</v>
      </c>
      <c r="T7" s="644" t="s">
        <v>843</v>
      </c>
      <c r="U7" s="647" t="s">
        <v>844</v>
      </c>
      <c r="V7" s="644" t="s">
        <v>845</v>
      </c>
      <c r="W7" s="645" t="s">
        <v>846</v>
      </c>
      <c r="X7" s="645" t="s">
        <v>847</v>
      </c>
      <c r="Y7" s="644" t="s">
        <v>848</v>
      </c>
      <c r="Z7" s="645" t="s">
        <v>849</v>
      </c>
      <c r="AA7" s="645" t="s">
        <v>850</v>
      </c>
      <c r="AB7" s="757" t="s">
        <v>851</v>
      </c>
      <c r="AC7" s="757" t="s">
        <v>852</v>
      </c>
      <c r="AD7" s="645" t="s">
        <v>853</v>
      </c>
      <c r="AE7" s="1100"/>
      <c r="AF7" s="1100"/>
      <c r="AG7" s="645" t="s">
        <v>854</v>
      </c>
      <c r="AH7" s="757" t="s">
        <v>855</v>
      </c>
      <c r="AI7" s="645" t="s">
        <v>856</v>
      </c>
      <c r="AJ7" s="645" t="s">
        <v>857</v>
      </c>
      <c r="AK7" s="645" t="s">
        <v>858</v>
      </c>
      <c r="AL7" s="645" t="s">
        <v>859</v>
      </c>
      <c r="AM7" s="1100"/>
      <c r="AN7" s="1100"/>
      <c r="AO7" s="757" t="s">
        <v>860</v>
      </c>
      <c r="AP7" s="645" t="s">
        <v>861</v>
      </c>
      <c r="AQ7" s="645" t="s">
        <v>1242</v>
      </c>
      <c r="AR7" s="645" t="s">
        <v>862</v>
      </c>
      <c r="AS7" s="645" t="s">
        <v>863</v>
      </c>
      <c r="AT7" s="757" t="s">
        <v>864</v>
      </c>
    </row>
    <row r="8" spans="1:46" s="69" customFormat="1" ht="11.25">
      <c r="A8" s="614" t="s">
        <v>865</v>
      </c>
      <c r="B8" s="614" t="s">
        <v>866</v>
      </c>
      <c r="C8" s="614" t="s">
        <v>867</v>
      </c>
      <c r="D8" s="615" t="s">
        <v>868</v>
      </c>
      <c r="E8" s="614" t="s">
        <v>869</v>
      </c>
      <c r="F8" s="614" t="s">
        <v>870</v>
      </c>
      <c r="G8" s="614"/>
      <c r="H8" s="614"/>
      <c r="I8" s="616">
        <v>1</v>
      </c>
      <c r="J8" s="616">
        <v>2</v>
      </c>
      <c r="K8" s="616">
        <v>3</v>
      </c>
      <c r="L8" s="616">
        <v>4</v>
      </c>
      <c r="M8" s="616">
        <v>5</v>
      </c>
      <c r="N8" s="616">
        <v>6</v>
      </c>
      <c r="O8" s="616">
        <v>7</v>
      </c>
      <c r="P8" s="616">
        <v>8</v>
      </c>
      <c r="Q8" s="616">
        <v>9</v>
      </c>
      <c r="R8" s="616">
        <v>10</v>
      </c>
      <c r="S8" s="616">
        <v>11</v>
      </c>
      <c r="T8" s="616">
        <v>12</v>
      </c>
      <c r="U8" s="616">
        <v>13</v>
      </c>
      <c r="V8" s="616">
        <v>14</v>
      </c>
      <c r="W8" s="616">
        <v>15</v>
      </c>
      <c r="X8" s="616">
        <v>16</v>
      </c>
      <c r="Y8" s="616">
        <v>17</v>
      </c>
      <c r="Z8" s="616">
        <v>18</v>
      </c>
      <c r="AA8" s="616">
        <v>19</v>
      </c>
      <c r="AB8" s="616">
        <v>20</v>
      </c>
      <c r="AC8" s="616">
        <v>21</v>
      </c>
      <c r="AD8" s="616">
        <v>22</v>
      </c>
      <c r="AE8" s="616">
        <v>23</v>
      </c>
      <c r="AF8" s="616">
        <v>24</v>
      </c>
      <c r="AG8" s="616">
        <v>25</v>
      </c>
      <c r="AH8" s="616">
        <v>26</v>
      </c>
      <c r="AI8" s="616">
        <v>27</v>
      </c>
      <c r="AJ8" s="616">
        <v>28</v>
      </c>
      <c r="AK8" s="616">
        <v>29</v>
      </c>
      <c r="AL8" s="616">
        <v>30</v>
      </c>
      <c r="AM8" s="616">
        <v>31</v>
      </c>
      <c r="AN8" s="616">
        <v>32</v>
      </c>
      <c r="AO8" s="616">
        <v>33</v>
      </c>
      <c r="AP8" s="616">
        <v>34</v>
      </c>
      <c r="AQ8" s="616">
        <v>35</v>
      </c>
      <c r="AR8" s="616">
        <v>36</v>
      </c>
      <c r="AS8" s="616">
        <v>37</v>
      </c>
      <c r="AT8" s="616">
        <v>38</v>
      </c>
    </row>
    <row r="9" spans="1:46" s="69" customFormat="1" ht="31.5" customHeight="1" thickBot="1">
      <c r="A9" s="1096" t="s">
        <v>1171</v>
      </c>
      <c r="B9" s="1097"/>
      <c r="C9" s="1097"/>
      <c r="D9" s="1097"/>
      <c r="E9" s="1097"/>
      <c r="F9" s="1097"/>
      <c r="G9" s="1097"/>
      <c r="H9" s="1097"/>
      <c r="I9" s="1097"/>
      <c r="J9" s="1097"/>
      <c r="K9" s="1097"/>
      <c r="L9" s="1097"/>
      <c r="M9" s="1097"/>
      <c r="N9" s="1097"/>
      <c r="O9" s="1097"/>
      <c r="P9" s="1097"/>
      <c r="Q9" s="1097"/>
      <c r="R9" s="1097"/>
      <c r="S9" s="1097"/>
      <c r="T9" s="1097"/>
      <c r="U9" s="1097"/>
      <c r="V9" s="1097"/>
      <c r="W9" s="1097"/>
      <c r="X9" s="1097"/>
      <c r="Y9" s="1097"/>
      <c r="Z9" s="1097"/>
      <c r="AA9" s="1097"/>
      <c r="AB9" s="1097"/>
      <c r="AC9" s="1097"/>
      <c r="AD9" s="1097"/>
      <c r="AE9" s="1097"/>
      <c r="AF9" s="1097"/>
      <c r="AG9" s="1097"/>
      <c r="AH9" s="1097"/>
      <c r="AI9" s="1097"/>
      <c r="AJ9" s="1097"/>
      <c r="AK9" s="1097"/>
      <c r="AL9" s="1097"/>
      <c r="AM9" s="1097"/>
      <c r="AN9" s="1097"/>
      <c r="AO9" s="1097"/>
      <c r="AP9" s="1097"/>
      <c r="AQ9" s="1097"/>
      <c r="AR9" s="1097"/>
      <c r="AS9" s="1097"/>
      <c r="AT9" s="1098"/>
    </row>
    <row r="10" spans="1:46" s="526" customFormat="1" ht="28.5" customHeight="1" thickBot="1">
      <c r="A10" s="413">
        <v>1</v>
      </c>
      <c r="B10" s="617"/>
      <c r="C10" s="1017">
        <v>1.1</v>
      </c>
      <c r="D10" s="1021" t="s">
        <v>1184</v>
      </c>
      <c r="E10" s="413" t="s">
        <v>871</v>
      </c>
      <c r="F10" s="534" t="s">
        <v>383</v>
      </c>
      <c r="G10" s="790" t="s">
        <v>390</v>
      </c>
      <c r="H10" s="136"/>
      <c r="I10" s="528"/>
      <c r="J10" s="529"/>
      <c r="K10" s="529"/>
      <c r="L10" s="618">
        <f>I10*J10*K10</f>
        <v>0</v>
      </c>
      <c r="M10" s="537"/>
      <c r="N10" s="537"/>
      <c r="O10" s="537"/>
      <c r="P10" s="537"/>
      <c r="Q10" s="537"/>
      <c r="R10" s="537"/>
      <c r="S10" s="537"/>
      <c r="T10" s="537"/>
      <c r="U10" s="527">
        <f aca="true" t="shared" si="0" ref="U10:U86">(M10*N10*P10)+(M10*N10*O10*Q10)+(M10*N10*O10*R10)+(M10*O10*S10)+(M10*N10*T10)</f>
        <v>0</v>
      </c>
      <c r="V10" s="530">
        <v>70</v>
      </c>
      <c r="W10" s="530">
        <v>350</v>
      </c>
      <c r="X10" s="527">
        <f aca="true" t="shared" si="1" ref="X10:X71">V10*W10</f>
        <v>24500</v>
      </c>
      <c r="Y10" s="530">
        <v>100</v>
      </c>
      <c r="Z10" s="530">
        <v>1250</v>
      </c>
      <c r="AA10" s="527">
        <f aca="true" t="shared" si="2" ref="AA10:AA71">Y10*Z10</f>
        <v>125000</v>
      </c>
      <c r="AB10" s="531"/>
      <c r="AC10" s="531"/>
      <c r="AD10" s="527">
        <f>AB10*AC10</f>
        <v>0</v>
      </c>
      <c r="AE10" s="527"/>
      <c r="AF10" s="527"/>
      <c r="AG10" s="626"/>
      <c r="AH10" s="626"/>
      <c r="AI10" s="527">
        <f aca="true" t="shared" si="3" ref="AI10:AI70">AG10*AH10</f>
        <v>0</v>
      </c>
      <c r="AJ10" s="626"/>
      <c r="AK10" s="626"/>
      <c r="AL10" s="527">
        <f>AJ10*AK10</f>
        <v>0</v>
      </c>
      <c r="AM10" s="527"/>
      <c r="AN10" s="527">
        <f>L10+U10+X10+AA10+AD10+AI10+AL10+AM10+AE10+AF10</f>
        <v>149500</v>
      </c>
      <c r="AO10" s="76"/>
      <c r="AP10" s="76"/>
      <c r="AQ10" s="76"/>
      <c r="AR10" s="76">
        <v>25000</v>
      </c>
      <c r="AS10" s="76"/>
      <c r="AT10" s="619">
        <f>AN10-AO10-AP10-AR10</f>
        <v>124500</v>
      </c>
    </row>
    <row r="11" spans="1:46" s="532" customFormat="1" ht="61.5" customHeight="1" thickBot="1">
      <c r="A11" s="413"/>
      <c r="B11" s="617"/>
      <c r="C11" s="1017"/>
      <c r="D11" s="1021"/>
      <c r="E11" s="413" t="s">
        <v>872</v>
      </c>
      <c r="F11" s="534" t="s">
        <v>1185</v>
      </c>
      <c r="G11" s="790" t="s">
        <v>873</v>
      </c>
      <c r="H11" s="136"/>
      <c r="I11" s="528"/>
      <c r="J11" s="529"/>
      <c r="K11" s="529"/>
      <c r="L11" s="618">
        <f aca="true" t="shared" si="4" ref="L11:L63">I11*J11*K11</f>
        <v>0</v>
      </c>
      <c r="M11" s="537"/>
      <c r="N11" s="537"/>
      <c r="O11" s="537"/>
      <c r="P11" s="537"/>
      <c r="Q11" s="537"/>
      <c r="R11" s="537"/>
      <c r="S11" s="537"/>
      <c r="T11" s="537"/>
      <c r="U11" s="527">
        <f t="shared" si="0"/>
        <v>0</v>
      </c>
      <c r="V11" s="530"/>
      <c r="W11" s="530"/>
      <c r="X11" s="527">
        <f t="shared" si="1"/>
        <v>0</v>
      </c>
      <c r="Y11" s="530">
        <v>20</v>
      </c>
      <c r="Z11" s="530">
        <v>1250</v>
      </c>
      <c r="AA11" s="527">
        <f t="shared" si="2"/>
        <v>25000</v>
      </c>
      <c r="AB11" s="531"/>
      <c r="AC11" s="531"/>
      <c r="AD11" s="527">
        <f aca="true" t="shared" si="5" ref="AD11:AD71">AB11*AC11</f>
        <v>0</v>
      </c>
      <c r="AE11" s="527"/>
      <c r="AF11" s="527"/>
      <c r="AG11" s="626"/>
      <c r="AH11" s="626"/>
      <c r="AI11" s="527">
        <f t="shared" si="3"/>
        <v>0</v>
      </c>
      <c r="AJ11" s="626"/>
      <c r="AK11" s="626"/>
      <c r="AL11" s="527">
        <f>AJ11*AK11</f>
        <v>0</v>
      </c>
      <c r="AM11" s="527"/>
      <c r="AN11" s="527">
        <f aca="true" t="shared" si="6" ref="AN11:AN71">L11+U11+X11+AA11+AD11+AI11+AL11+AM11+AE11+AF11</f>
        <v>25000</v>
      </c>
      <c r="AO11" s="76"/>
      <c r="AP11" s="76"/>
      <c r="AQ11" s="76"/>
      <c r="AR11" s="76">
        <f>AN11</f>
        <v>25000</v>
      </c>
      <c r="AS11" s="76"/>
      <c r="AT11" s="619">
        <f>AN11-AO11-AP11-AR11</f>
        <v>0</v>
      </c>
    </row>
    <row r="12" spans="1:46" s="532" customFormat="1" ht="76.5" customHeight="1" thickBot="1">
      <c r="A12" s="413"/>
      <c r="B12" s="617"/>
      <c r="C12" s="1017"/>
      <c r="D12" s="1021"/>
      <c r="E12" s="413" t="s">
        <v>874</v>
      </c>
      <c r="F12" s="533" t="s">
        <v>384</v>
      </c>
      <c r="G12" s="790" t="s">
        <v>391</v>
      </c>
      <c r="H12" s="136"/>
      <c r="I12" s="528"/>
      <c r="J12" s="529"/>
      <c r="K12" s="529"/>
      <c r="L12" s="618">
        <f t="shared" si="4"/>
        <v>0</v>
      </c>
      <c r="M12" s="537">
        <v>15</v>
      </c>
      <c r="N12" s="537">
        <v>1</v>
      </c>
      <c r="O12" s="537">
        <v>20</v>
      </c>
      <c r="P12" s="537"/>
      <c r="Q12" s="537">
        <v>25</v>
      </c>
      <c r="R12" s="537">
        <v>20</v>
      </c>
      <c r="S12" s="537"/>
      <c r="T12" s="537"/>
      <c r="U12" s="527">
        <f t="shared" si="0"/>
        <v>13500</v>
      </c>
      <c r="V12" s="530">
        <f>15*50</f>
        <v>750</v>
      </c>
      <c r="W12" s="530">
        <v>350</v>
      </c>
      <c r="X12" s="527">
        <f t="shared" si="1"/>
        <v>262500</v>
      </c>
      <c r="Y12" s="530">
        <f>15*40</f>
        <v>600</v>
      </c>
      <c r="Z12" s="530">
        <v>1250</v>
      </c>
      <c r="AA12" s="527">
        <f t="shared" si="2"/>
        <v>750000</v>
      </c>
      <c r="AB12" s="531"/>
      <c r="AC12" s="531"/>
      <c r="AD12" s="527">
        <f t="shared" si="5"/>
        <v>0</v>
      </c>
      <c r="AE12" s="527"/>
      <c r="AF12" s="527"/>
      <c r="AG12" s="626"/>
      <c r="AH12" s="626"/>
      <c r="AI12" s="527">
        <f t="shared" si="3"/>
        <v>0</v>
      </c>
      <c r="AJ12" s="626"/>
      <c r="AK12" s="626"/>
      <c r="AL12" s="527"/>
      <c r="AM12" s="527">
        <v>15000</v>
      </c>
      <c r="AN12" s="527">
        <f t="shared" si="6"/>
        <v>1041000</v>
      </c>
      <c r="AO12" s="76">
        <v>7000</v>
      </c>
      <c r="AP12" s="76"/>
      <c r="AQ12" s="76"/>
      <c r="AR12" s="76"/>
      <c r="AS12" s="76"/>
      <c r="AT12" s="619">
        <f aca="true" t="shared" si="7" ref="AT12:AT86">AN12-AO12-AP12-AR12</f>
        <v>1034000</v>
      </c>
    </row>
    <row r="13" spans="1:46" s="532" customFormat="1" ht="51.75" customHeight="1" thickBot="1">
      <c r="A13" s="413"/>
      <c r="B13" s="617"/>
      <c r="C13" s="1017"/>
      <c r="D13" s="1021"/>
      <c r="E13" s="413" t="s">
        <v>875</v>
      </c>
      <c r="F13" s="533" t="s">
        <v>385</v>
      </c>
      <c r="G13" s="790" t="s">
        <v>876</v>
      </c>
      <c r="H13" s="136"/>
      <c r="I13" s="528"/>
      <c r="J13" s="529"/>
      <c r="K13" s="529"/>
      <c r="L13" s="618">
        <f t="shared" si="4"/>
        <v>0</v>
      </c>
      <c r="M13" s="537"/>
      <c r="N13" s="537"/>
      <c r="O13" s="537"/>
      <c r="P13" s="537"/>
      <c r="Q13" s="537"/>
      <c r="R13" s="537"/>
      <c r="S13" s="537"/>
      <c r="T13" s="537"/>
      <c r="U13" s="527">
        <f t="shared" si="0"/>
        <v>0</v>
      </c>
      <c r="V13" s="530"/>
      <c r="W13" s="530"/>
      <c r="X13" s="527">
        <f t="shared" si="1"/>
        <v>0</v>
      </c>
      <c r="Y13" s="530"/>
      <c r="Z13" s="530"/>
      <c r="AA13" s="527">
        <v>450000</v>
      </c>
      <c r="AB13" s="531"/>
      <c r="AC13" s="531"/>
      <c r="AD13" s="527">
        <f t="shared" si="5"/>
        <v>0</v>
      </c>
      <c r="AE13" s="527"/>
      <c r="AF13" s="527"/>
      <c r="AG13" s="626"/>
      <c r="AH13" s="626"/>
      <c r="AI13" s="527">
        <f t="shared" si="3"/>
        <v>0</v>
      </c>
      <c r="AJ13" s="626"/>
      <c r="AK13" s="626"/>
      <c r="AL13" s="527"/>
      <c r="AM13" s="527"/>
      <c r="AN13" s="527">
        <f t="shared" si="6"/>
        <v>450000</v>
      </c>
      <c r="AO13" s="76"/>
      <c r="AP13" s="76">
        <f>AN13</f>
        <v>450000</v>
      </c>
      <c r="AQ13" s="76"/>
      <c r="AR13" s="76"/>
      <c r="AS13" s="76"/>
      <c r="AT13" s="619">
        <f t="shared" si="7"/>
        <v>0</v>
      </c>
    </row>
    <row r="14" spans="1:46" s="532" customFormat="1" ht="30" customHeight="1" thickBot="1">
      <c r="A14" s="413"/>
      <c r="B14" s="617"/>
      <c r="C14" s="1017"/>
      <c r="D14" s="1021"/>
      <c r="E14" s="413" t="s">
        <v>877</v>
      </c>
      <c r="F14" s="533" t="s">
        <v>386</v>
      </c>
      <c r="G14" s="790"/>
      <c r="H14" s="136"/>
      <c r="I14" s="528"/>
      <c r="J14" s="529"/>
      <c r="K14" s="529"/>
      <c r="L14" s="618">
        <f t="shared" si="4"/>
        <v>0</v>
      </c>
      <c r="M14" s="537">
        <v>15</v>
      </c>
      <c r="N14" s="537">
        <v>1</v>
      </c>
      <c r="O14" s="537">
        <v>20</v>
      </c>
      <c r="P14" s="537">
        <v>25</v>
      </c>
      <c r="Q14" s="537"/>
      <c r="R14" s="537">
        <v>20</v>
      </c>
      <c r="S14" s="537"/>
      <c r="T14" s="537"/>
      <c r="U14" s="527">
        <f t="shared" si="0"/>
        <v>6375</v>
      </c>
      <c r="V14" s="530">
        <f>15*100</f>
        <v>1500</v>
      </c>
      <c r="W14" s="530">
        <v>350</v>
      </c>
      <c r="X14" s="527">
        <f t="shared" si="1"/>
        <v>525000</v>
      </c>
      <c r="Y14" s="530">
        <f>15*60</f>
        <v>900</v>
      </c>
      <c r="Z14" s="530">
        <v>1250</v>
      </c>
      <c r="AA14" s="527">
        <f t="shared" si="2"/>
        <v>1125000</v>
      </c>
      <c r="AB14" s="531"/>
      <c r="AC14" s="531"/>
      <c r="AD14" s="527">
        <f t="shared" si="5"/>
        <v>0</v>
      </c>
      <c r="AE14" s="527"/>
      <c r="AF14" s="527"/>
      <c r="AG14" s="626"/>
      <c r="AH14" s="626"/>
      <c r="AI14" s="527">
        <f t="shared" si="3"/>
        <v>0</v>
      </c>
      <c r="AJ14" s="626"/>
      <c r="AK14" s="626"/>
      <c r="AL14" s="527"/>
      <c r="AM14" s="527"/>
      <c r="AN14" s="527">
        <f t="shared" si="6"/>
        <v>1656375</v>
      </c>
      <c r="AO14" s="76"/>
      <c r="AP14" s="76"/>
      <c r="AQ14" s="76"/>
      <c r="AR14" s="76"/>
      <c r="AS14" s="76"/>
      <c r="AT14" s="619">
        <f t="shared" si="7"/>
        <v>1656375</v>
      </c>
    </row>
    <row r="15" spans="1:46" s="532" customFormat="1" ht="75" customHeight="1" thickBot="1">
      <c r="A15" s="413"/>
      <c r="B15" s="617"/>
      <c r="C15" s="1017"/>
      <c r="D15" s="1021"/>
      <c r="E15" s="413" t="s">
        <v>878</v>
      </c>
      <c r="F15" s="534" t="s">
        <v>387</v>
      </c>
      <c r="G15" s="790" t="s">
        <v>879</v>
      </c>
      <c r="H15" s="136"/>
      <c r="I15" s="528"/>
      <c r="J15" s="529"/>
      <c r="K15" s="529"/>
      <c r="L15" s="618">
        <f t="shared" si="4"/>
        <v>0</v>
      </c>
      <c r="M15" s="537"/>
      <c r="N15" s="537"/>
      <c r="O15" s="537"/>
      <c r="P15" s="537"/>
      <c r="Q15" s="537"/>
      <c r="R15" s="537"/>
      <c r="S15" s="537"/>
      <c r="T15" s="537"/>
      <c r="U15" s="527">
        <f t="shared" si="0"/>
        <v>0</v>
      </c>
      <c r="V15" s="530">
        <v>10</v>
      </c>
      <c r="W15" s="530">
        <v>350</v>
      </c>
      <c r="X15" s="527">
        <f t="shared" si="1"/>
        <v>3500</v>
      </c>
      <c r="Y15" s="530">
        <v>30</v>
      </c>
      <c r="Z15" s="530">
        <v>1250</v>
      </c>
      <c r="AA15" s="527">
        <f t="shared" si="2"/>
        <v>37500</v>
      </c>
      <c r="AB15" s="531"/>
      <c r="AC15" s="531"/>
      <c r="AD15" s="527">
        <f t="shared" si="5"/>
        <v>0</v>
      </c>
      <c r="AE15" s="527"/>
      <c r="AF15" s="527"/>
      <c r="AG15" s="626"/>
      <c r="AH15" s="626"/>
      <c r="AI15" s="527">
        <f t="shared" si="3"/>
        <v>0</v>
      </c>
      <c r="AJ15" s="626"/>
      <c r="AK15" s="626"/>
      <c r="AL15" s="527"/>
      <c r="AM15" s="527">
        <v>1000</v>
      </c>
      <c r="AN15" s="527">
        <f t="shared" si="6"/>
        <v>42000</v>
      </c>
      <c r="AO15" s="76">
        <v>1000</v>
      </c>
      <c r="AP15" s="76"/>
      <c r="AQ15" s="76"/>
      <c r="AR15" s="76"/>
      <c r="AS15" s="76"/>
      <c r="AT15" s="619">
        <f t="shared" si="7"/>
        <v>41000</v>
      </c>
    </row>
    <row r="16" spans="1:46" s="532" customFormat="1" ht="49.5" customHeight="1" thickBot="1">
      <c r="A16" s="413"/>
      <c r="B16" s="617"/>
      <c r="C16" s="1017"/>
      <c r="D16" s="1021"/>
      <c r="E16" s="413" t="s">
        <v>880</v>
      </c>
      <c r="F16" s="534" t="s">
        <v>388</v>
      </c>
      <c r="G16" s="790" t="s">
        <v>881</v>
      </c>
      <c r="H16" s="136" t="s">
        <v>68</v>
      </c>
      <c r="I16" s="528"/>
      <c r="J16" s="529"/>
      <c r="K16" s="529"/>
      <c r="L16" s="618">
        <f t="shared" si="4"/>
        <v>0</v>
      </c>
      <c r="M16" s="537">
        <v>20</v>
      </c>
      <c r="N16" s="537">
        <v>9</v>
      </c>
      <c r="O16" s="537">
        <v>20</v>
      </c>
      <c r="P16" s="537"/>
      <c r="Q16" s="537">
        <v>25</v>
      </c>
      <c r="R16" s="537"/>
      <c r="S16" s="537">
        <v>20</v>
      </c>
      <c r="T16" s="537">
        <v>65</v>
      </c>
      <c r="U16" s="527">
        <f t="shared" si="0"/>
        <v>109700</v>
      </c>
      <c r="V16" s="530"/>
      <c r="W16" s="530"/>
      <c r="X16" s="527">
        <f t="shared" si="1"/>
        <v>0</v>
      </c>
      <c r="Y16" s="530"/>
      <c r="Z16" s="530"/>
      <c r="AA16" s="527">
        <f t="shared" si="2"/>
        <v>0</v>
      </c>
      <c r="AB16" s="531"/>
      <c r="AC16" s="531"/>
      <c r="AD16" s="527">
        <f t="shared" si="5"/>
        <v>0</v>
      </c>
      <c r="AE16" s="527"/>
      <c r="AF16" s="527"/>
      <c r="AG16" s="626"/>
      <c r="AH16" s="626"/>
      <c r="AI16" s="527">
        <f t="shared" si="3"/>
        <v>0</v>
      </c>
      <c r="AJ16" s="626"/>
      <c r="AK16" s="626"/>
      <c r="AL16" s="527"/>
      <c r="AM16" s="527"/>
      <c r="AN16" s="527">
        <f t="shared" si="6"/>
        <v>109700</v>
      </c>
      <c r="AO16" s="76"/>
      <c r="AP16" s="76"/>
      <c r="AQ16" s="76"/>
      <c r="AR16" s="76"/>
      <c r="AS16" s="76"/>
      <c r="AT16" s="619">
        <f t="shared" si="7"/>
        <v>109700</v>
      </c>
    </row>
    <row r="17" spans="1:46" s="532" customFormat="1" ht="46.5" customHeight="1">
      <c r="A17" s="413"/>
      <c r="B17" s="617"/>
      <c r="C17" s="1017"/>
      <c r="D17" s="1021"/>
      <c r="E17" s="413" t="s">
        <v>882</v>
      </c>
      <c r="F17" s="534" t="s">
        <v>1186</v>
      </c>
      <c r="G17" s="790" t="s">
        <v>392</v>
      </c>
      <c r="H17" s="136"/>
      <c r="I17" s="528"/>
      <c r="J17" s="529"/>
      <c r="K17" s="529"/>
      <c r="L17" s="618">
        <f t="shared" si="4"/>
        <v>0</v>
      </c>
      <c r="M17" s="537">
        <v>10</v>
      </c>
      <c r="N17" s="537">
        <v>1</v>
      </c>
      <c r="O17" s="537">
        <v>20</v>
      </c>
      <c r="P17" s="537">
        <v>350</v>
      </c>
      <c r="Q17" s="537">
        <v>25</v>
      </c>
      <c r="R17" s="537"/>
      <c r="S17" s="537">
        <v>20</v>
      </c>
      <c r="T17" s="537"/>
      <c r="U17" s="527">
        <f t="shared" si="0"/>
        <v>12500</v>
      </c>
      <c r="V17" s="530">
        <f>10*100</f>
        <v>1000</v>
      </c>
      <c r="W17" s="530">
        <v>350</v>
      </c>
      <c r="X17" s="527">
        <f t="shared" si="1"/>
        <v>350000</v>
      </c>
      <c r="Y17" s="530">
        <f>10*100</f>
        <v>1000</v>
      </c>
      <c r="Z17" s="530">
        <v>1250</v>
      </c>
      <c r="AA17" s="527">
        <f t="shared" si="2"/>
        <v>1250000</v>
      </c>
      <c r="AB17" s="531"/>
      <c r="AC17" s="531"/>
      <c r="AD17" s="527">
        <f t="shared" si="5"/>
        <v>0</v>
      </c>
      <c r="AE17" s="527"/>
      <c r="AF17" s="527"/>
      <c r="AG17" s="626"/>
      <c r="AH17" s="626"/>
      <c r="AI17" s="527">
        <f t="shared" si="3"/>
        <v>0</v>
      </c>
      <c r="AJ17" s="626"/>
      <c r="AK17" s="626"/>
      <c r="AL17" s="527"/>
      <c r="AM17" s="527">
        <f>10*5000</f>
        <v>50000</v>
      </c>
      <c r="AN17" s="527">
        <f t="shared" si="6"/>
        <v>1662500</v>
      </c>
      <c r="AO17" s="76"/>
      <c r="AP17" s="76"/>
      <c r="AQ17" s="76"/>
      <c r="AR17" s="76"/>
      <c r="AS17" s="76"/>
      <c r="AT17" s="619">
        <f t="shared" si="7"/>
        <v>1662500</v>
      </c>
    </row>
    <row r="18" spans="1:46" s="532" customFormat="1" ht="24" customHeight="1">
      <c r="A18" s="413"/>
      <c r="B18" s="617"/>
      <c r="C18" s="1017"/>
      <c r="D18" s="1021"/>
      <c r="E18" s="413" t="s">
        <v>883</v>
      </c>
      <c r="F18" s="534" t="s">
        <v>1187</v>
      </c>
      <c r="G18" s="791" t="s">
        <v>393</v>
      </c>
      <c r="H18" s="136"/>
      <c r="I18" s="528"/>
      <c r="J18" s="529"/>
      <c r="K18" s="529"/>
      <c r="L18" s="618">
        <f t="shared" si="4"/>
        <v>0</v>
      </c>
      <c r="M18" s="537"/>
      <c r="N18" s="537"/>
      <c r="O18" s="537"/>
      <c r="P18" s="537"/>
      <c r="Q18" s="537"/>
      <c r="R18" s="537"/>
      <c r="S18" s="537"/>
      <c r="T18" s="537"/>
      <c r="U18" s="527">
        <f t="shared" si="0"/>
        <v>0</v>
      </c>
      <c r="V18" s="530">
        <f>19*50</f>
        <v>950</v>
      </c>
      <c r="W18" s="530">
        <v>350</v>
      </c>
      <c r="X18" s="527">
        <f t="shared" si="1"/>
        <v>332500</v>
      </c>
      <c r="Y18" s="530"/>
      <c r="Z18" s="530"/>
      <c r="AA18" s="527">
        <f t="shared" si="2"/>
        <v>0</v>
      </c>
      <c r="AB18" s="531"/>
      <c r="AC18" s="531"/>
      <c r="AD18" s="527">
        <f t="shared" si="5"/>
        <v>0</v>
      </c>
      <c r="AE18" s="527"/>
      <c r="AF18" s="527"/>
      <c r="AG18" s="626"/>
      <c r="AH18" s="626"/>
      <c r="AI18" s="527">
        <f t="shared" si="3"/>
        <v>0</v>
      </c>
      <c r="AJ18" s="626"/>
      <c r="AK18" s="626"/>
      <c r="AL18" s="527"/>
      <c r="AM18" s="527"/>
      <c r="AN18" s="527">
        <f t="shared" si="6"/>
        <v>332500</v>
      </c>
      <c r="AO18" s="76"/>
      <c r="AP18" s="76"/>
      <c r="AQ18" s="76"/>
      <c r="AR18" s="76"/>
      <c r="AS18" s="76"/>
      <c r="AT18" s="619">
        <f t="shared" si="7"/>
        <v>332500</v>
      </c>
    </row>
    <row r="19" spans="1:46" s="532" customFormat="1" ht="24.75" customHeight="1" thickBot="1">
      <c r="A19" s="413"/>
      <c r="B19" s="617"/>
      <c r="C19" s="1017"/>
      <c r="D19" s="1021"/>
      <c r="E19" s="413" t="s">
        <v>884</v>
      </c>
      <c r="F19" s="535" t="s">
        <v>389</v>
      </c>
      <c r="G19" s="78"/>
      <c r="H19" s="620"/>
      <c r="I19" s="528"/>
      <c r="J19" s="529"/>
      <c r="K19" s="529"/>
      <c r="L19" s="618">
        <f t="shared" si="4"/>
        <v>0</v>
      </c>
      <c r="M19" s="537"/>
      <c r="N19" s="537"/>
      <c r="O19" s="537"/>
      <c r="P19" s="537"/>
      <c r="Q19" s="537"/>
      <c r="R19" s="537"/>
      <c r="S19" s="537"/>
      <c r="T19" s="537"/>
      <c r="U19" s="527">
        <f t="shared" si="0"/>
        <v>0</v>
      </c>
      <c r="V19" s="530"/>
      <c r="W19" s="530"/>
      <c r="X19" s="527">
        <f t="shared" si="1"/>
        <v>0</v>
      </c>
      <c r="Y19" s="530"/>
      <c r="Z19" s="530"/>
      <c r="AA19" s="527">
        <f t="shared" si="2"/>
        <v>0</v>
      </c>
      <c r="AB19" s="531">
        <f>19*300</f>
        <v>5700</v>
      </c>
      <c r="AC19" s="531">
        <v>5</v>
      </c>
      <c r="AD19" s="527">
        <f t="shared" si="5"/>
        <v>28500</v>
      </c>
      <c r="AE19" s="527"/>
      <c r="AF19" s="527"/>
      <c r="AG19" s="626"/>
      <c r="AH19" s="626"/>
      <c r="AI19" s="527">
        <f t="shared" si="3"/>
        <v>0</v>
      </c>
      <c r="AJ19" s="626"/>
      <c r="AK19" s="626"/>
      <c r="AL19" s="527"/>
      <c r="AM19" s="527"/>
      <c r="AN19" s="527">
        <f t="shared" si="6"/>
        <v>28500</v>
      </c>
      <c r="AO19" s="76"/>
      <c r="AP19" s="76"/>
      <c r="AQ19" s="76"/>
      <c r="AR19" s="76"/>
      <c r="AS19" s="76"/>
      <c r="AT19" s="619">
        <f t="shared" si="7"/>
        <v>28500</v>
      </c>
    </row>
    <row r="20" spans="1:46" s="536" customFormat="1" ht="63" customHeight="1">
      <c r="A20" s="413"/>
      <c r="B20" s="617"/>
      <c r="C20" s="1017">
        <v>1.2</v>
      </c>
      <c r="D20" s="1021" t="s">
        <v>1188</v>
      </c>
      <c r="E20" s="413" t="s">
        <v>885</v>
      </c>
      <c r="F20" s="534" t="s">
        <v>1189</v>
      </c>
      <c r="G20" s="790" t="s">
        <v>886</v>
      </c>
      <c r="H20" s="136" t="s">
        <v>73</v>
      </c>
      <c r="I20" s="528"/>
      <c r="J20" s="529"/>
      <c r="K20" s="529"/>
      <c r="L20" s="618">
        <f>I20*J20*K20</f>
        <v>0</v>
      </c>
      <c r="M20" s="537"/>
      <c r="N20" s="537"/>
      <c r="O20" s="537"/>
      <c r="P20" s="537"/>
      <c r="Q20" s="537"/>
      <c r="R20" s="537"/>
      <c r="S20" s="537"/>
      <c r="T20" s="537"/>
      <c r="U20" s="527">
        <f t="shared" si="0"/>
        <v>0</v>
      </c>
      <c r="V20" s="530">
        <f>30*20+50</f>
        <v>650</v>
      </c>
      <c r="W20" s="530">
        <v>350</v>
      </c>
      <c r="X20" s="527">
        <f>V20*W20</f>
        <v>227500</v>
      </c>
      <c r="Y20" s="530"/>
      <c r="Z20" s="530"/>
      <c r="AA20" s="527">
        <f>Y20*Z20</f>
        <v>0</v>
      </c>
      <c r="AB20" s="531"/>
      <c r="AC20" s="531"/>
      <c r="AD20" s="527">
        <f>AB20*AC20</f>
        <v>0</v>
      </c>
      <c r="AE20" s="527"/>
      <c r="AF20" s="527"/>
      <c r="AG20" s="626"/>
      <c r="AH20" s="626"/>
      <c r="AI20" s="527">
        <f>AG20*AH20</f>
        <v>0</v>
      </c>
      <c r="AJ20" s="626"/>
      <c r="AK20" s="626"/>
      <c r="AL20" s="527">
        <f>AJ20*AK20</f>
        <v>0</v>
      </c>
      <c r="AM20" s="527"/>
      <c r="AN20" s="527">
        <f>L20+U20+X20+AA20+AD20+AI20+AL20+AM20+AE20+AF20</f>
        <v>227500</v>
      </c>
      <c r="AO20" s="76"/>
      <c r="AP20" s="76"/>
      <c r="AQ20" s="76"/>
      <c r="AR20" s="76"/>
      <c r="AS20" s="76"/>
      <c r="AT20" s="619">
        <f>AN20-AO20-AP20-AR20</f>
        <v>227500</v>
      </c>
    </row>
    <row r="21" spans="1:46" s="536" customFormat="1" ht="27.75" customHeight="1">
      <c r="A21" s="413"/>
      <c r="B21" s="617"/>
      <c r="C21" s="1017"/>
      <c r="D21" s="1021"/>
      <c r="E21" s="413" t="s">
        <v>887</v>
      </c>
      <c r="F21" s="534" t="s">
        <v>394</v>
      </c>
      <c r="G21" s="136"/>
      <c r="H21" s="136" t="s">
        <v>69</v>
      </c>
      <c r="I21" s="528"/>
      <c r="J21" s="529"/>
      <c r="K21" s="529"/>
      <c r="L21" s="618">
        <f>I21*J21*K21</f>
        <v>0</v>
      </c>
      <c r="M21" s="537"/>
      <c r="N21" s="537"/>
      <c r="O21" s="537"/>
      <c r="P21" s="537"/>
      <c r="Q21" s="537"/>
      <c r="R21" s="537"/>
      <c r="S21" s="537"/>
      <c r="T21" s="537"/>
      <c r="U21" s="527">
        <f>(M21*N21*P21)+(M21*N21*O21*Q21)+(M21*N21*O21*R21)+(M21*O21*S21)+(M21*N21*T21)</f>
        <v>0</v>
      </c>
      <c r="V21" s="530">
        <v>60</v>
      </c>
      <c r="W21" s="530">
        <v>350</v>
      </c>
      <c r="X21" s="527">
        <f>V21*W21</f>
        <v>21000</v>
      </c>
      <c r="Y21" s="530">
        <v>40</v>
      </c>
      <c r="Z21" s="530">
        <v>1250</v>
      </c>
      <c r="AA21" s="527">
        <f>Y21*Z21</f>
        <v>50000</v>
      </c>
      <c r="AB21" s="531"/>
      <c r="AC21" s="531"/>
      <c r="AD21" s="527">
        <f>AB21*AC21</f>
        <v>0</v>
      </c>
      <c r="AE21" s="527"/>
      <c r="AF21" s="527"/>
      <c r="AG21" s="626"/>
      <c r="AH21" s="626"/>
      <c r="AI21" s="527">
        <f>AG21*AH21</f>
        <v>0</v>
      </c>
      <c r="AJ21" s="626"/>
      <c r="AK21" s="626"/>
      <c r="AL21" s="527">
        <f>AJ21*AK21</f>
        <v>0</v>
      </c>
      <c r="AM21" s="527"/>
      <c r="AN21" s="527">
        <f>L21+U21+X21+AA21+AD21+AI21+AL21+AM21+AE21+AF21</f>
        <v>71000</v>
      </c>
      <c r="AO21" s="76"/>
      <c r="AP21" s="76"/>
      <c r="AQ21" s="76"/>
      <c r="AR21" s="76"/>
      <c r="AS21" s="76"/>
      <c r="AT21" s="619">
        <f>AN21-AO21-AP21-AR21</f>
        <v>71000</v>
      </c>
    </row>
    <row r="22" spans="1:46" s="536" customFormat="1" ht="36" customHeight="1" thickBot="1">
      <c r="A22" s="413"/>
      <c r="B22" s="617"/>
      <c r="C22" s="1017"/>
      <c r="D22" s="1021"/>
      <c r="E22" s="413" t="s">
        <v>888</v>
      </c>
      <c r="F22" s="136" t="s">
        <v>1246</v>
      </c>
      <c r="G22" s="136"/>
      <c r="H22" s="136" t="s">
        <v>74</v>
      </c>
      <c r="I22" s="528"/>
      <c r="J22" s="621"/>
      <c r="K22" s="621"/>
      <c r="L22" s="618">
        <f>I22*J22*K22</f>
        <v>0</v>
      </c>
      <c r="M22" s="537"/>
      <c r="N22" s="537"/>
      <c r="O22" s="537"/>
      <c r="P22" s="537"/>
      <c r="Q22" s="537"/>
      <c r="R22" s="537"/>
      <c r="S22" s="537"/>
      <c r="T22" s="537"/>
      <c r="U22" s="527">
        <f>(M22*N22*P22)+(M22*N22*O22*Q22)+(M22*N22*O22*R22)+(M22*O22*S22)+(M22*N22*T22)</f>
        <v>0</v>
      </c>
      <c r="V22" s="622">
        <f>27*30</f>
        <v>810</v>
      </c>
      <c r="W22" s="530">
        <v>350</v>
      </c>
      <c r="X22" s="527">
        <f>V22*W22</f>
        <v>283500</v>
      </c>
      <c r="Y22" s="622">
        <f>27*40</f>
        <v>1080</v>
      </c>
      <c r="Z22" s="530">
        <v>1250</v>
      </c>
      <c r="AA22" s="527">
        <f>Y22*Z22</f>
        <v>1350000</v>
      </c>
      <c r="AB22" s="623"/>
      <c r="AC22" s="623"/>
      <c r="AD22" s="527">
        <f>AB22*AC22</f>
        <v>0</v>
      </c>
      <c r="AE22" s="624"/>
      <c r="AF22" s="624"/>
      <c r="AG22" s="552"/>
      <c r="AH22" s="552"/>
      <c r="AI22" s="527">
        <f>AG22*AH22</f>
        <v>0</v>
      </c>
      <c r="AJ22" s="552"/>
      <c r="AK22" s="552"/>
      <c r="AL22" s="527">
        <f>AJ22*AK22</f>
        <v>0</v>
      </c>
      <c r="AM22" s="625"/>
      <c r="AN22" s="527">
        <f>L22+U22+X22+AA22+AD22+AI22+AL22+AM22+AE22+AF22</f>
        <v>1633500</v>
      </c>
      <c r="AO22" s="76"/>
      <c r="AP22" s="76"/>
      <c r="AQ22" s="76"/>
      <c r="AR22" s="76"/>
      <c r="AS22" s="76"/>
      <c r="AT22" s="619">
        <f>AN22-AO22-AP22-AR22</f>
        <v>1633500</v>
      </c>
    </row>
    <row r="23" spans="1:46" s="532" customFormat="1" ht="29.25" customHeight="1" thickBot="1">
      <c r="A23" s="413"/>
      <c r="B23" s="617"/>
      <c r="C23" s="1017">
        <v>1.2</v>
      </c>
      <c r="D23" s="1021" t="s">
        <v>399</v>
      </c>
      <c r="E23" s="413" t="s">
        <v>889</v>
      </c>
      <c r="F23" s="534" t="s">
        <v>444</v>
      </c>
      <c r="G23" s="790" t="s">
        <v>890</v>
      </c>
      <c r="H23" s="136" t="s">
        <v>891</v>
      </c>
      <c r="I23" s="528"/>
      <c r="J23" s="529"/>
      <c r="K23" s="529"/>
      <c r="L23" s="618">
        <f t="shared" si="4"/>
        <v>0</v>
      </c>
      <c r="M23" s="537"/>
      <c r="N23" s="537"/>
      <c r="O23" s="537"/>
      <c r="P23" s="537"/>
      <c r="Q23" s="537"/>
      <c r="R23" s="537"/>
      <c r="S23" s="537"/>
      <c r="T23" s="537"/>
      <c r="U23" s="527">
        <f t="shared" si="0"/>
        <v>0</v>
      </c>
      <c r="V23" s="530">
        <v>30</v>
      </c>
      <c r="W23" s="530">
        <v>350</v>
      </c>
      <c r="X23" s="527">
        <f t="shared" si="1"/>
        <v>10500</v>
      </c>
      <c r="Y23" s="530">
        <v>40</v>
      </c>
      <c r="Z23" s="530">
        <v>1250</v>
      </c>
      <c r="AA23" s="527">
        <f t="shared" si="2"/>
        <v>50000</v>
      </c>
      <c r="AB23" s="531"/>
      <c r="AC23" s="531"/>
      <c r="AD23" s="527">
        <f t="shared" si="5"/>
        <v>0</v>
      </c>
      <c r="AE23" s="527"/>
      <c r="AF23" s="527"/>
      <c r="AG23" s="626"/>
      <c r="AH23" s="626"/>
      <c r="AI23" s="527">
        <f t="shared" si="3"/>
        <v>0</v>
      </c>
      <c r="AJ23" s="626"/>
      <c r="AK23" s="626"/>
      <c r="AL23" s="527"/>
      <c r="AM23" s="527">
        <v>1000</v>
      </c>
      <c r="AN23" s="527">
        <f t="shared" si="6"/>
        <v>61500</v>
      </c>
      <c r="AO23" s="76"/>
      <c r="AP23" s="76"/>
      <c r="AQ23" s="76"/>
      <c r="AR23" s="76"/>
      <c r="AS23" s="76"/>
      <c r="AT23" s="619">
        <f t="shared" si="7"/>
        <v>61500</v>
      </c>
    </row>
    <row r="24" spans="1:46" s="532" customFormat="1" ht="62.25" customHeight="1" thickBot="1">
      <c r="A24" s="413"/>
      <c r="B24" s="617"/>
      <c r="C24" s="1017"/>
      <c r="D24" s="1021"/>
      <c r="E24" s="413" t="s">
        <v>892</v>
      </c>
      <c r="F24" s="534" t="s">
        <v>395</v>
      </c>
      <c r="G24" s="790" t="s">
        <v>893</v>
      </c>
      <c r="H24" s="136" t="s">
        <v>70</v>
      </c>
      <c r="I24" s="528"/>
      <c r="J24" s="529"/>
      <c r="K24" s="529"/>
      <c r="L24" s="618">
        <f t="shared" si="4"/>
        <v>0</v>
      </c>
      <c r="M24" s="537"/>
      <c r="N24" s="537"/>
      <c r="O24" s="537"/>
      <c r="P24" s="537"/>
      <c r="Q24" s="537"/>
      <c r="R24" s="537"/>
      <c r="S24" s="537"/>
      <c r="T24" s="537"/>
      <c r="U24" s="527">
        <f t="shared" si="0"/>
        <v>0</v>
      </c>
      <c r="V24" s="530">
        <v>30</v>
      </c>
      <c r="W24" s="530">
        <v>350</v>
      </c>
      <c r="X24" s="527">
        <f t="shared" si="1"/>
        <v>10500</v>
      </c>
      <c r="Y24" s="530">
        <v>30</v>
      </c>
      <c r="Z24" s="530">
        <v>1250</v>
      </c>
      <c r="AA24" s="527">
        <f t="shared" si="2"/>
        <v>37500</v>
      </c>
      <c r="AB24" s="531"/>
      <c r="AC24" s="531"/>
      <c r="AD24" s="527">
        <f t="shared" si="5"/>
        <v>0</v>
      </c>
      <c r="AE24" s="527"/>
      <c r="AF24" s="527"/>
      <c r="AG24" s="626"/>
      <c r="AH24" s="626"/>
      <c r="AI24" s="527">
        <f t="shared" si="3"/>
        <v>0</v>
      </c>
      <c r="AJ24" s="626"/>
      <c r="AK24" s="626"/>
      <c r="AL24" s="527"/>
      <c r="AM24" s="527">
        <v>1000</v>
      </c>
      <c r="AN24" s="527">
        <f t="shared" si="6"/>
        <v>49000</v>
      </c>
      <c r="AO24" s="76"/>
      <c r="AP24" s="76"/>
      <c r="AQ24" s="76"/>
      <c r="AR24" s="76"/>
      <c r="AS24" s="76"/>
      <c r="AT24" s="619">
        <f t="shared" si="7"/>
        <v>49000</v>
      </c>
    </row>
    <row r="25" spans="1:46" s="532" customFormat="1" ht="18.75" customHeight="1" thickBot="1">
      <c r="A25" s="413"/>
      <c r="B25" s="617"/>
      <c r="C25" s="1017"/>
      <c r="D25" s="1021"/>
      <c r="E25" s="413"/>
      <c r="F25" s="1113" t="s">
        <v>396</v>
      </c>
      <c r="G25" s="790" t="s">
        <v>894</v>
      </c>
      <c r="H25" s="136" t="s">
        <v>71</v>
      </c>
      <c r="I25" s="528"/>
      <c r="J25" s="529"/>
      <c r="K25" s="529"/>
      <c r="L25" s="618">
        <f t="shared" si="4"/>
        <v>0</v>
      </c>
      <c r="M25" s="537">
        <f>(1+1)*6</f>
        <v>12</v>
      </c>
      <c r="N25" s="537">
        <v>1</v>
      </c>
      <c r="O25" s="537">
        <f>40+40</f>
        <v>80</v>
      </c>
      <c r="P25" s="537">
        <v>450</v>
      </c>
      <c r="Q25" s="537">
        <v>30</v>
      </c>
      <c r="R25" s="537">
        <v>80</v>
      </c>
      <c r="S25" s="537">
        <v>20</v>
      </c>
      <c r="T25" s="537"/>
      <c r="U25" s="527">
        <f t="shared" si="0"/>
        <v>130200</v>
      </c>
      <c r="V25" s="530"/>
      <c r="W25" s="530"/>
      <c r="X25" s="527">
        <f t="shared" si="1"/>
        <v>0</v>
      </c>
      <c r="Y25" s="530"/>
      <c r="Z25" s="530"/>
      <c r="AA25" s="527">
        <f t="shared" si="2"/>
        <v>0</v>
      </c>
      <c r="AB25" s="531"/>
      <c r="AC25" s="531"/>
      <c r="AD25" s="527">
        <f t="shared" si="5"/>
        <v>0</v>
      </c>
      <c r="AE25" s="527"/>
      <c r="AF25" s="527"/>
      <c r="AG25" s="626"/>
      <c r="AH25" s="626"/>
      <c r="AI25" s="527">
        <f t="shared" si="3"/>
        <v>0</v>
      </c>
      <c r="AJ25" s="626"/>
      <c r="AK25" s="626"/>
      <c r="AL25" s="527"/>
      <c r="AM25" s="527"/>
      <c r="AN25" s="527">
        <f t="shared" si="6"/>
        <v>130200</v>
      </c>
      <c r="AO25" s="76"/>
      <c r="AP25" s="76"/>
      <c r="AQ25" s="76"/>
      <c r="AR25" s="76"/>
      <c r="AS25" s="76"/>
      <c r="AT25" s="619">
        <f t="shared" si="7"/>
        <v>130200</v>
      </c>
    </row>
    <row r="26" spans="1:46" s="532" customFormat="1" ht="22.5" customHeight="1">
      <c r="A26" s="413"/>
      <c r="B26" s="617"/>
      <c r="C26" s="1017"/>
      <c r="D26" s="1021"/>
      <c r="E26" s="413" t="s">
        <v>895</v>
      </c>
      <c r="F26" s="1113"/>
      <c r="G26" s="790" t="s">
        <v>896</v>
      </c>
      <c r="H26" s="136" t="s">
        <v>72</v>
      </c>
      <c r="I26" s="528"/>
      <c r="J26" s="529"/>
      <c r="K26" s="529"/>
      <c r="L26" s="618">
        <f t="shared" si="4"/>
        <v>0</v>
      </c>
      <c r="M26" s="537">
        <f>2*20*6</f>
        <v>240</v>
      </c>
      <c r="N26" s="537">
        <v>2</v>
      </c>
      <c r="O26" s="537">
        <v>20</v>
      </c>
      <c r="P26" s="537"/>
      <c r="Q26" s="537">
        <v>25</v>
      </c>
      <c r="R26" s="537"/>
      <c r="S26" s="537">
        <v>20</v>
      </c>
      <c r="T26" s="537">
        <v>65</v>
      </c>
      <c r="U26" s="527">
        <f t="shared" si="0"/>
        <v>367200</v>
      </c>
      <c r="V26" s="530"/>
      <c r="W26" s="530"/>
      <c r="X26" s="527">
        <f t="shared" si="1"/>
        <v>0</v>
      </c>
      <c r="Y26" s="530"/>
      <c r="Z26" s="530"/>
      <c r="AA26" s="527">
        <f t="shared" si="2"/>
        <v>0</v>
      </c>
      <c r="AB26" s="531"/>
      <c r="AC26" s="531"/>
      <c r="AD26" s="527">
        <f t="shared" si="5"/>
        <v>0</v>
      </c>
      <c r="AE26" s="527"/>
      <c r="AF26" s="527"/>
      <c r="AG26" s="626"/>
      <c r="AH26" s="626"/>
      <c r="AI26" s="527">
        <f t="shared" si="3"/>
        <v>0</v>
      </c>
      <c r="AJ26" s="626"/>
      <c r="AK26" s="626"/>
      <c r="AL26" s="527"/>
      <c r="AM26" s="527"/>
      <c r="AN26" s="527">
        <f t="shared" si="6"/>
        <v>367200</v>
      </c>
      <c r="AO26" s="76"/>
      <c r="AP26" s="76"/>
      <c r="AQ26" s="76"/>
      <c r="AR26" s="76"/>
      <c r="AS26" s="76"/>
      <c r="AT26" s="619">
        <f t="shared" si="7"/>
        <v>367200</v>
      </c>
    </row>
    <row r="27" spans="1:46" s="536" customFormat="1" ht="24" customHeight="1">
      <c r="A27" s="413"/>
      <c r="B27" s="617"/>
      <c r="C27" s="570">
        <v>1.3</v>
      </c>
      <c r="D27" s="1021" t="s">
        <v>400</v>
      </c>
      <c r="E27" s="413" t="s">
        <v>897</v>
      </c>
      <c r="F27" s="533" t="s">
        <v>397</v>
      </c>
      <c r="G27" s="136"/>
      <c r="H27" s="136" t="s">
        <v>75</v>
      </c>
      <c r="I27" s="528">
        <v>5</v>
      </c>
      <c r="J27" s="529">
        <v>720</v>
      </c>
      <c r="K27" s="529">
        <f>12*6</f>
        <v>72</v>
      </c>
      <c r="L27" s="618">
        <f t="shared" si="4"/>
        <v>259200</v>
      </c>
      <c r="M27" s="537"/>
      <c r="N27" s="537"/>
      <c r="O27" s="537"/>
      <c r="P27" s="537"/>
      <c r="Q27" s="537"/>
      <c r="R27" s="537"/>
      <c r="S27" s="537"/>
      <c r="T27" s="537"/>
      <c r="U27" s="527">
        <f t="shared" si="0"/>
        <v>0</v>
      </c>
      <c r="V27" s="530"/>
      <c r="W27" s="530"/>
      <c r="X27" s="527">
        <f t="shared" si="1"/>
        <v>0</v>
      </c>
      <c r="Y27" s="530"/>
      <c r="Z27" s="530"/>
      <c r="AA27" s="527">
        <f t="shared" si="2"/>
        <v>0</v>
      </c>
      <c r="AB27" s="531"/>
      <c r="AC27" s="531"/>
      <c r="AD27" s="527">
        <f t="shared" si="5"/>
        <v>0</v>
      </c>
      <c r="AE27" s="527"/>
      <c r="AF27" s="527"/>
      <c r="AG27" s="626"/>
      <c r="AH27" s="626"/>
      <c r="AI27" s="527">
        <f t="shared" si="3"/>
        <v>0</v>
      </c>
      <c r="AJ27" s="626"/>
      <c r="AK27" s="626"/>
      <c r="AL27" s="527">
        <f>AJ27*AK27</f>
        <v>0</v>
      </c>
      <c r="AM27" s="527"/>
      <c r="AN27" s="527">
        <f t="shared" si="6"/>
        <v>259200</v>
      </c>
      <c r="AO27" s="76"/>
      <c r="AP27" s="76"/>
      <c r="AQ27" s="76"/>
      <c r="AR27" s="76"/>
      <c r="AS27" s="76"/>
      <c r="AT27" s="619">
        <f t="shared" si="7"/>
        <v>259200</v>
      </c>
    </row>
    <row r="28" spans="1:46" s="536" customFormat="1" ht="42" customHeight="1">
      <c r="A28" s="413"/>
      <c r="B28" s="617"/>
      <c r="C28" s="570"/>
      <c r="D28" s="1021"/>
      <c r="E28" s="413" t="s">
        <v>898</v>
      </c>
      <c r="F28" s="534" t="s">
        <v>1247</v>
      </c>
      <c r="G28" s="136" t="s">
        <v>401</v>
      </c>
      <c r="H28" s="136"/>
      <c r="I28" s="528"/>
      <c r="J28" s="529"/>
      <c r="K28" s="529"/>
      <c r="L28" s="618">
        <f t="shared" si="4"/>
        <v>0</v>
      </c>
      <c r="M28" s="537">
        <v>2</v>
      </c>
      <c r="N28" s="537">
        <v>2</v>
      </c>
      <c r="O28" s="537">
        <v>15</v>
      </c>
      <c r="P28" s="537">
        <v>350</v>
      </c>
      <c r="Q28" s="537">
        <v>25</v>
      </c>
      <c r="R28" s="537">
        <v>50</v>
      </c>
      <c r="S28" s="537">
        <v>20</v>
      </c>
      <c r="T28" s="537"/>
      <c r="U28" s="527">
        <f t="shared" si="0"/>
        <v>6500</v>
      </c>
      <c r="V28" s="530"/>
      <c r="W28" s="530"/>
      <c r="X28" s="527">
        <f t="shared" si="1"/>
        <v>0</v>
      </c>
      <c r="Y28" s="530"/>
      <c r="Z28" s="530"/>
      <c r="AA28" s="527">
        <f t="shared" si="2"/>
        <v>0</v>
      </c>
      <c r="AB28" s="531"/>
      <c r="AC28" s="531"/>
      <c r="AD28" s="527">
        <f t="shared" si="5"/>
        <v>0</v>
      </c>
      <c r="AE28" s="527"/>
      <c r="AF28" s="527"/>
      <c r="AG28" s="626"/>
      <c r="AH28" s="626"/>
      <c r="AI28" s="527">
        <f t="shared" si="3"/>
        <v>0</v>
      </c>
      <c r="AJ28" s="626"/>
      <c r="AK28" s="626"/>
      <c r="AL28" s="527">
        <f>AJ28*AK28</f>
        <v>0</v>
      </c>
      <c r="AM28" s="527"/>
      <c r="AN28" s="527">
        <f t="shared" si="6"/>
        <v>6500</v>
      </c>
      <c r="AO28" s="76"/>
      <c r="AP28" s="76"/>
      <c r="AQ28" s="76"/>
      <c r="AR28" s="76"/>
      <c r="AS28" s="76"/>
      <c r="AT28" s="619">
        <f t="shared" si="7"/>
        <v>6500</v>
      </c>
    </row>
    <row r="29" spans="1:46" s="536" customFormat="1" ht="46.5" customHeight="1" thickBot="1">
      <c r="A29" s="413"/>
      <c r="B29" s="617"/>
      <c r="C29" s="570"/>
      <c r="D29" s="1021"/>
      <c r="E29" s="413" t="s">
        <v>899</v>
      </c>
      <c r="F29" s="136" t="s">
        <v>398</v>
      </c>
      <c r="G29" s="136"/>
      <c r="H29" s="136" t="s">
        <v>76</v>
      </c>
      <c r="I29" s="528"/>
      <c r="J29" s="621"/>
      <c r="K29" s="621"/>
      <c r="L29" s="618">
        <f t="shared" si="4"/>
        <v>0</v>
      </c>
      <c r="M29" s="537"/>
      <c r="N29" s="537"/>
      <c r="O29" s="622"/>
      <c r="P29" s="622"/>
      <c r="Q29" s="622"/>
      <c r="R29" s="622"/>
      <c r="S29" s="622"/>
      <c r="T29" s="622"/>
      <c r="U29" s="527">
        <f t="shared" si="0"/>
        <v>0</v>
      </c>
      <c r="V29" s="622"/>
      <c r="W29" s="622"/>
      <c r="X29" s="527">
        <f t="shared" si="1"/>
        <v>0</v>
      </c>
      <c r="Y29" s="622"/>
      <c r="Z29" s="622"/>
      <c r="AA29" s="527">
        <f t="shared" si="2"/>
        <v>0</v>
      </c>
      <c r="AB29" s="623"/>
      <c r="AC29" s="623"/>
      <c r="AD29" s="527">
        <f t="shared" si="5"/>
        <v>0</v>
      </c>
      <c r="AE29" s="624"/>
      <c r="AF29" s="624"/>
      <c r="AG29" s="552"/>
      <c r="AH29" s="552"/>
      <c r="AI29" s="527">
        <f t="shared" si="3"/>
        <v>0</v>
      </c>
      <c r="AJ29" s="552"/>
      <c r="AK29" s="552"/>
      <c r="AL29" s="527">
        <f>AJ29*AK29</f>
        <v>0</v>
      </c>
      <c r="AM29" s="625">
        <v>9000</v>
      </c>
      <c r="AN29" s="527">
        <f t="shared" si="6"/>
        <v>9000</v>
      </c>
      <c r="AO29" s="76"/>
      <c r="AP29" s="76"/>
      <c r="AQ29" s="76"/>
      <c r="AR29" s="76"/>
      <c r="AS29" s="76"/>
      <c r="AT29" s="619">
        <f t="shared" si="7"/>
        <v>9000</v>
      </c>
    </row>
    <row r="30" spans="1:46" s="526" customFormat="1" ht="28.5" customHeight="1">
      <c r="A30" s="413"/>
      <c r="B30" s="617"/>
      <c r="C30" s="1017">
        <v>1.4</v>
      </c>
      <c r="D30" s="1021" t="s">
        <v>404</v>
      </c>
      <c r="E30" s="413" t="s">
        <v>900</v>
      </c>
      <c r="F30" s="758" t="s">
        <v>403</v>
      </c>
      <c r="G30" s="136" t="s">
        <v>901</v>
      </c>
      <c r="H30" s="136"/>
      <c r="I30" s="528"/>
      <c r="J30" s="529"/>
      <c r="K30" s="529"/>
      <c r="L30" s="618">
        <f t="shared" si="4"/>
        <v>0</v>
      </c>
      <c r="M30" s="537"/>
      <c r="N30" s="537"/>
      <c r="O30" s="537"/>
      <c r="P30" s="537"/>
      <c r="Q30" s="537"/>
      <c r="R30" s="537"/>
      <c r="S30" s="537"/>
      <c r="T30" s="537"/>
      <c r="U30" s="527">
        <f t="shared" si="0"/>
        <v>0</v>
      </c>
      <c r="V30" s="530"/>
      <c r="W30" s="530"/>
      <c r="X30" s="527">
        <f t="shared" si="1"/>
        <v>0</v>
      </c>
      <c r="Y30" s="530"/>
      <c r="Z30" s="530"/>
      <c r="AA30" s="527">
        <f t="shared" si="2"/>
        <v>0</v>
      </c>
      <c r="AB30" s="531"/>
      <c r="AC30" s="531"/>
      <c r="AD30" s="527">
        <f t="shared" si="5"/>
        <v>0</v>
      </c>
      <c r="AE30" s="527"/>
      <c r="AF30" s="527">
        <v>250000</v>
      </c>
      <c r="AG30" s="626"/>
      <c r="AH30" s="626"/>
      <c r="AI30" s="527">
        <f t="shared" si="3"/>
        <v>0</v>
      </c>
      <c r="AJ30" s="626"/>
      <c r="AK30" s="626"/>
      <c r="AL30" s="527">
        <f>AJ30*AK30</f>
        <v>0</v>
      </c>
      <c r="AM30" s="527"/>
      <c r="AN30" s="527">
        <f t="shared" si="6"/>
        <v>250000</v>
      </c>
      <c r="AO30" s="76"/>
      <c r="AP30" s="76"/>
      <c r="AQ30" s="76"/>
      <c r="AR30" s="76">
        <v>250000</v>
      </c>
      <c r="AS30" s="76"/>
      <c r="AT30" s="619">
        <f t="shared" si="7"/>
        <v>0</v>
      </c>
    </row>
    <row r="31" spans="1:46" s="536" customFormat="1" ht="90.75" customHeight="1">
      <c r="A31" s="413"/>
      <c r="B31" s="617"/>
      <c r="C31" s="1017"/>
      <c r="D31" s="1021"/>
      <c r="E31" s="413" t="s">
        <v>902</v>
      </c>
      <c r="F31" s="534" t="s">
        <v>405</v>
      </c>
      <c r="G31" s="136"/>
      <c r="H31" s="136" t="s">
        <v>77</v>
      </c>
      <c r="I31" s="528"/>
      <c r="J31" s="621"/>
      <c r="K31" s="621"/>
      <c r="L31" s="618">
        <f t="shared" si="4"/>
        <v>0</v>
      </c>
      <c r="M31" s="537">
        <f>1*6</f>
        <v>6</v>
      </c>
      <c r="N31" s="537">
        <v>1</v>
      </c>
      <c r="O31" s="622">
        <v>40</v>
      </c>
      <c r="P31" s="622"/>
      <c r="Q31" s="622">
        <v>25</v>
      </c>
      <c r="R31" s="622"/>
      <c r="S31" s="622">
        <v>20</v>
      </c>
      <c r="T31" s="622">
        <v>65</v>
      </c>
      <c r="U31" s="527">
        <f t="shared" si="0"/>
        <v>11190</v>
      </c>
      <c r="V31" s="622"/>
      <c r="W31" s="622"/>
      <c r="X31" s="527">
        <f t="shared" si="1"/>
        <v>0</v>
      </c>
      <c r="Y31" s="622"/>
      <c r="Z31" s="622"/>
      <c r="AA31" s="527">
        <f t="shared" si="2"/>
        <v>0</v>
      </c>
      <c r="AB31" s="623"/>
      <c r="AC31" s="623"/>
      <c r="AD31" s="527">
        <f t="shared" si="5"/>
        <v>0</v>
      </c>
      <c r="AE31" s="624"/>
      <c r="AF31" s="624"/>
      <c r="AG31" s="552"/>
      <c r="AH31" s="552"/>
      <c r="AI31" s="527">
        <f t="shared" si="3"/>
        <v>0</v>
      </c>
      <c r="AJ31" s="552"/>
      <c r="AK31" s="552"/>
      <c r="AL31" s="527">
        <f>AJ31*AK31</f>
        <v>0</v>
      </c>
      <c r="AM31" s="625"/>
      <c r="AN31" s="527">
        <f t="shared" si="6"/>
        <v>11190</v>
      </c>
      <c r="AO31" s="76"/>
      <c r="AP31" s="76"/>
      <c r="AQ31" s="76"/>
      <c r="AR31" s="76"/>
      <c r="AS31" s="76"/>
      <c r="AT31" s="619">
        <f t="shared" si="7"/>
        <v>11190</v>
      </c>
    </row>
    <row r="32" spans="1:46" s="526" customFormat="1" ht="51.75" customHeight="1">
      <c r="A32" s="413"/>
      <c r="B32" s="617"/>
      <c r="C32" s="1017"/>
      <c r="D32" s="1021" t="s">
        <v>406</v>
      </c>
      <c r="E32" s="413" t="s">
        <v>903</v>
      </c>
      <c r="F32" s="534" t="s">
        <v>1207</v>
      </c>
      <c r="G32" s="1114" t="s">
        <v>402</v>
      </c>
      <c r="H32" s="136" t="s">
        <v>78</v>
      </c>
      <c r="I32" s="528"/>
      <c r="J32" s="529"/>
      <c r="K32" s="529"/>
      <c r="L32" s="618">
        <f t="shared" si="4"/>
        <v>0</v>
      </c>
      <c r="M32" s="537"/>
      <c r="N32" s="537"/>
      <c r="O32" s="537"/>
      <c r="P32" s="537"/>
      <c r="Q32" s="537"/>
      <c r="R32" s="537"/>
      <c r="S32" s="537"/>
      <c r="T32" s="537"/>
      <c r="U32" s="527">
        <f t="shared" si="0"/>
        <v>0</v>
      </c>
      <c r="V32" s="530"/>
      <c r="W32" s="530"/>
      <c r="X32" s="527">
        <f t="shared" si="1"/>
        <v>0</v>
      </c>
      <c r="Y32" s="530"/>
      <c r="Z32" s="530"/>
      <c r="AA32" s="527">
        <f t="shared" si="2"/>
        <v>0</v>
      </c>
      <c r="AB32" s="531"/>
      <c r="AC32" s="531"/>
      <c r="AD32" s="527">
        <f t="shared" si="5"/>
        <v>0</v>
      </c>
      <c r="AE32" s="527"/>
      <c r="AF32" s="527"/>
      <c r="AG32" s="626"/>
      <c r="AH32" s="626"/>
      <c r="AI32" s="527">
        <f t="shared" si="3"/>
        <v>0</v>
      </c>
      <c r="AJ32" s="626"/>
      <c r="AK32" s="626"/>
      <c r="AL32" s="527"/>
      <c r="AM32" s="527"/>
      <c r="AN32" s="527">
        <f t="shared" si="6"/>
        <v>0</v>
      </c>
      <c r="AO32" s="76"/>
      <c r="AP32" s="76"/>
      <c r="AQ32" s="76"/>
      <c r="AR32" s="76"/>
      <c r="AS32" s="76"/>
      <c r="AT32" s="619">
        <f t="shared" si="7"/>
        <v>0</v>
      </c>
    </row>
    <row r="33" spans="1:46" s="532" customFormat="1" ht="36" customHeight="1">
      <c r="A33" s="413"/>
      <c r="B33" s="617"/>
      <c r="C33" s="1017"/>
      <c r="D33" s="1021"/>
      <c r="E33" s="413" t="s">
        <v>904</v>
      </c>
      <c r="F33" s="533" t="s">
        <v>407</v>
      </c>
      <c r="G33" s="1114"/>
      <c r="H33" s="136" t="s">
        <v>80</v>
      </c>
      <c r="I33" s="528"/>
      <c r="J33" s="529"/>
      <c r="K33" s="529"/>
      <c r="L33" s="618">
        <f t="shared" si="4"/>
        <v>0</v>
      </c>
      <c r="M33" s="537"/>
      <c r="N33" s="537"/>
      <c r="O33" s="537"/>
      <c r="P33" s="537"/>
      <c r="Q33" s="537"/>
      <c r="R33" s="537"/>
      <c r="S33" s="537"/>
      <c r="T33" s="537"/>
      <c r="U33" s="527">
        <f t="shared" si="0"/>
        <v>0</v>
      </c>
      <c r="V33" s="530"/>
      <c r="W33" s="530"/>
      <c r="X33" s="527">
        <f t="shared" si="1"/>
        <v>0</v>
      </c>
      <c r="Y33" s="530"/>
      <c r="Z33" s="530"/>
      <c r="AA33" s="527">
        <f t="shared" si="2"/>
        <v>0</v>
      </c>
      <c r="AB33" s="531"/>
      <c r="AC33" s="531"/>
      <c r="AD33" s="527">
        <f t="shared" si="5"/>
        <v>0</v>
      </c>
      <c r="AE33" s="527"/>
      <c r="AF33" s="527"/>
      <c r="AG33" s="626"/>
      <c r="AH33" s="626"/>
      <c r="AI33" s="527">
        <f t="shared" si="3"/>
        <v>0</v>
      </c>
      <c r="AJ33" s="626"/>
      <c r="AK33" s="626"/>
      <c r="AL33" s="527">
        <f aca="true" t="shared" si="8" ref="AL33:AL38">AJ33*AK33</f>
        <v>0</v>
      </c>
      <c r="AM33" s="527"/>
      <c r="AN33" s="527">
        <f t="shared" si="6"/>
        <v>0</v>
      </c>
      <c r="AO33" s="76"/>
      <c r="AP33" s="76"/>
      <c r="AQ33" s="76"/>
      <c r="AR33" s="76"/>
      <c r="AS33" s="76"/>
      <c r="AT33" s="619">
        <f t="shared" si="7"/>
        <v>0</v>
      </c>
    </row>
    <row r="34" spans="1:46" s="536" customFormat="1" ht="45">
      <c r="A34" s="413"/>
      <c r="B34" s="617"/>
      <c r="C34" s="570">
        <v>1.6</v>
      </c>
      <c r="D34" s="413" t="s">
        <v>408</v>
      </c>
      <c r="E34" s="413" t="s">
        <v>905</v>
      </c>
      <c r="F34" s="534" t="s">
        <v>409</v>
      </c>
      <c r="G34" s="136"/>
      <c r="H34" s="136" t="s">
        <v>81</v>
      </c>
      <c r="I34" s="528"/>
      <c r="J34" s="529"/>
      <c r="K34" s="529"/>
      <c r="L34" s="618">
        <f t="shared" si="4"/>
        <v>0</v>
      </c>
      <c r="M34" s="537">
        <v>20</v>
      </c>
      <c r="N34" s="537">
        <v>3</v>
      </c>
      <c r="O34" s="537">
        <v>15</v>
      </c>
      <c r="P34" s="537"/>
      <c r="Q34" s="537">
        <v>25</v>
      </c>
      <c r="R34" s="537"/>
      <c r="S34" s="537">
        <v>5</v>
      </c>
      <c r="T34" s="537">
        <v>65</v>
      </c>
      <c r="U34" s="527">
        <f t="shared" si="0"/>
        <v>27900</v>
      </c>
      <c r="V34" s="626"/>
      <c r="W34" s="626"/>
      <c r="X34" s="527">
        <f t="shared" si="1"/>
        <v>0</v>
      </c>
      <c r="Y34" s="530"/>
      <c r="Z34" s="530"/>
      <c r="AA34" s="527">
        <f t="shared" si="2"/>
        <v>0</v>
      </c>
      <c r="AB34" s="531"/>
      <c r="AC34" s="531"/>
      <c r="AD34" s="527">
        <f t="shared" si="5"/>
        <v>0</v>
      </c>
      <c r="AE34" s="527"/>
      <c r="AF34" s="527"/>
      <c r="AG34" s="626"/>
      <c r="AH34" s="626"/>
      <c r="AI34" s="527">
        <f t="shared" si="3"/>
        <v>0</v>
      </c>
      <c r="AJ34" s="626"/>
      <c r="AK34" s="626"/>
      <c r="AL34" s="527">
        <f t="shared" si="8"/>
        <v>0</v>
      </c>
      <c r="AM34" s="527"/>
      <c r="AN34" s="527">
        <f t="shared" si="6"/>
        <v>27900</v>
      </c>
      <c r="AO34" s="76"/>
      <c r="AP34" s="76"/>
      <c r="AQ34" s="76"/>
      <c r="AR34" s="76"/>
      <c r="AS34" s="76"/>
      <c r="AT34" s="619">
        <f t="shared" si="7"/>
        <v>27900</v>
      </c>
    </row>
    <row r="35" spans="1:46" s="536" customFormat="1" ht="42" customHeight="1">
      <c r="A35" s="413"/>
      <c r="B35" s="617"/>
      <c r="C35" s="1017">
        <v>1.7</v>
      </c>
      <c r="D35" s="1021" t="s">
        <v>1175</v>
      </c>
      <c r="E35" s="413" t="s">
        <v>211</v>
      </c>
      <c r="F35" s="534" t="s">
        <v>410</v>
      </c>
      <c r="G35" s="136"/>
      <c r="H35" s="136" t="s">
        <v>82</v>
      </c>
      <c r="I35" s="528"/>
      <c r="J35" s="529"/>
      <c r="K35" s="529"/>
      <c r="L35" s="618">
        <f t="shared" si="4"/>
        <v>0</v>
      </c>
      <c r="M35" s="537">
        <v>23</v>
      </c>
      <c r="N35" s="537">
        <v>2</v>
      </c>
      <c r="O35" s="537">
        <v>20</v>
      </c>
      <c r="P35" s="537"/>
      <c r="Q35" s="537">
        <v>25</v>
      </c>
      <c r="R35" s="537"/>
      <c r="S35" s="537">
        <v>10</v>
      </c>
      <c r="T35" s="537">
        <v>65</v>
      </c>
      <c r="U35" s="527">
        <f t="shared" si="0"/>
        <v>30590</v>
      </c>
      <c r="V35" s="530">
        <v>20</v>
      </c>
      <c r="W35" s="530">
        <v>350</v>
      </c>
      <c r="X35" s="527">
        <f t="shared" si="1"/>
        <v>7000</v>
      </c>
      <c r="Y35" s="530">
        <v>20</v>
      </c>
      <c r="Z35" s="530">
        <v>1250</v>
      </c>
      <c r="AA35" s="527">
        <f t="shared" si="2"/>
        <v>25000</v>
      </c>
      <c r="AB35" s="531"/>
      <c r="AC35" s="531"/>
      <c r="AD35" s="527">
        <f t="shared" si="5"/>
        <v>0</v>
      </c>
      <c r="AE35" s="527"/>
      <c r="AF35" s="527"/>
      <c r="AG35" s="626"/>
      <c r="AH35" s="626"/>
      <c r="AI35" s="527">
        <f t="shared" si="3"/>
        <v>0</v>
      </c>
      <c r="AJ35" s="626"/>
      <c r="AK35" s="626"/>
      <c r="AL35" s="527">
        <f t="shared" si="8"/>
        <v>0</v>
      </c>
      <c r="AM35" s="527"/>
      <c r="AN35" s="527">
        <f t="shared" si="6"/>
        <v>62590</v>
      </c>
      <c r="AO35" s="76"/>
      <c r="AP35" s="76"/>
      <c r="AQ35" s="76"/>
      <c r="AR35" s="76"/>
      <c r="AS35" s="76"/>
      <c r="AT35" s="619">
        <f t="shared" si="7"/>
        <v>62590</v>
      </c>
    </row>
    <row r="36" spans="1:46" s="536" customFormat="1" ht="48.75" customHeight="1">
      <c r="A36" s="413"/>
      <c r="B36" s="617"/>
      <c r="C36" s="1017"/>
      <c r="D36" s="1021"/>
      <c r="E36" s="413" t="s">
        <v>212</v>
      </c>
      <c r="F36" s="136" t="s">
        <v>411</v>
      </c>
      <c r="G36" s="136"/>
      <c r="H36" s="136" t="s">
        <v>83</v>
      </c>
      <c r="I36" s="528"/>
      <c r="J36" s="529"/>
      <c r="K36" s="529"/>
      <c r="L36" s="618">
        <f t="shared" si="4"/>
        <v>0</v>
      </c>
      <c r="M36" s="537">
        <v>6</v>
      </c>
      <c r="N36" s="537">
        <v>3</v>
      </c>
      <c r="O36" s="537">
        <v>10</v>
      </c>
      <c r="P36" s="537"/>
      <c r="Q36" s="537">
        <v>25</v>
      </c>
      <c r="R36" s="537"/>
      <c r="S36" s="537">
        <v>10</v>
      </c>
      <c r="T36" s="537">
        <v>65</v>
      </c>
      <c r="U36" s="527">
        <f t="shared" si="0"/>
        <v>6270</v>
      </c>
      <c r="V36" s="530"/>
      <c r="W36" s="530"/>
      <c r="X36" s="527">
        <f t="shared" si="1"/>
        <v>0</v>
      </c>
      <c r="Y36" s="530"/>
      <c r="Z36" s="530"/>
      <c r="AA36" s="527">
        <f t="shared" si="2"/>
        <v>0</v>
      </c>
      <c r="AB36" s="531"/>
      <c r="AC36" s="531"/>
      <c r="AD36" s="527">
        <f t="shared" si="5"/>
        <v>0</v>
      </c>
      <c r="AE36" s="527"/>
      <c r="AF36" s="527"/>
      <c r="AG36" s="626"/>
      <c r="AH36" s="626"/>
      <c r="AI36" s="527">
        <f t="shared" si="3"/>
        <v>0</v>
      </c>
      <c r="AJ36" s="626"/>
      <c r="AK36" s="626"/>
      <c r="AL36" s="527">
        <f t="shared" si="8"/>
        <v>0</v>
      </c>
      <c r="AM36" s="527">
        <f>(3*2*500)+(3*2*5*80)+(3*2*5*50)</f>
        <v>6900</v>
      </c>
      <c r="AN36" s="527">
        <f t="shared" si="6"/>
        <v>13170</v>
      </c>
      <c r="AO36" s="76"/>
      <c r="AP36" s="76"/>
      <c r="AQ36" s="76"/>
      <c r="AR36" s="76"/>
      <c r="AS36" s="76"/>
      <c r="AT36" s="619">
        <f t="shared" si="7"/>
        <v>13170</v>
      </c>
    </row>
    <row r="37" spans="1:46" s="536" customFormat="1" ht="27" customHeight="1">
      <c r="A37" s="413"/>
      <c r="B37" s="617"/>
      <c r="C37" s="1017"/>
      <c r="D37" s="1021"/>
      <c r="E37" s="413" t="s">
        <v>213</v>
      </c>
      <c r="F37" s="136"/>
      <c r="G37" s="136"/>
      <c r="H37" s="136"/>
      <c r="I37" s="528"/>
      <c r="J37" s="621"/>
      <c r="K37" s="621"/>
      <c r="L37" s="618">
        <f t="shared" si="4"/>
        <v>0</v>
      </c>
      <c r="M37" s="537"/>
      <c r="N37" s="537"/>
      <c r="O37" s="622"/>
      <c r="P37" s="622"/>
      <c r="Q37" s="622"/>
      <c r="R37" s="622"/>
      <c r="S37" s="622"/>
      <c r="T37" s="622"/>
      <c r="U37" s="527">
        <f t="shared" si="0"/>
        <v>0</v>
      </c>
      <c r="V37" s="622"/>
      <c r="W37" s="622"/>
      <c r="X37" s="527">
        <f t="shared" si="1"/>
        <v>0</v>
      </c>
      <c r="Y37" s="622"/>
      <c r="Z37" s="622"/>
      <c r="AA37" s="527">
        <f t="shared" si="2"/>
        <v>0</v>
      </c>
      <c r="AB37" s="623"/>
      <c r="AC37" s="623"/>
      <c r="AD37" s="527">
        <f t="shared" si="5"/>
        <v>0</v>
      </c>
      <c r="AE37" s="624"/>
      <c r="AF37" s="624"/>
      <c r="AG37" s="552"/>
      <c r="AH37" s="552"/>
      <c r="AI37" s="527">
        <f t="shared" si="3"/>
        <v>0</v>
      </c>
      <c r="AJ37" s="552"/>
      <c r="AK37" s="552"/>
      <c r="AL37" s="527">
        <f t="shared" si="8"/>
        <v>0</v>
      </c>
      <c r="AM37" s="625"/>
      <c r="AN37" s="527">
        <f t="shared" si="6"/>
        <v>0</v>
      </c>
      <c r="AO37" s="76"/>
      <c r="AP37" s="76"/>
      <c r="AQ37" s="76"/>
      <c r="AR37" s="76"/>
      <c r="AS37" s="76"/>
      <c r="AT37" s="619">
        <f t="shared" si="7"/>
        <v>0</v>
      </c>
    </row>
    <row r="38" spans="1:46" s="526" customFormat="1" ht="39.75" customHeight="1">
      <c r="A38" s="413"/>
      <c r="B38" s="617"/>
      <c r="C38" s="1017">
        <v>1.8</v>
      </c>
      <c r="D38" s="1021" t="s">
        <v>413</v>
      </c>
      <c r="E38" s="413" t="s">
        <v>906</v>
      </c>
      <c r="F38" s="136" t="s">
        <v>412</v>
      </c>
      <c r="G38" s="136"/>
      <c r="H38" s="136" t="s">
        <v>84</v>
      </c>
      <c r="I38" s="528"/>
      <c r="J38" s="529"/>
      <c r="K38" s="529"/>
      <c r="L38" s="618">
        <f t="shared" si="4"/>
        <v>0</v>
      </c>
      <c r="M38" s="537"/>
      <c r="N38" s="537"/>
      <c r="O38" s="537"/>
      <c r="P38" s="537"/>
      <c r="Q38" s="537"/>
      <c r="R38" s="537"/>
      <c r="S38" s="537"/>
      <c r="T38" s="537"/>
      <c r="U38" s="527">
        <f t="shared" si="0"/>
        <v>0</v>
      </c>
      <c r="V38" s="530">
        <v>30</v>
      </c>
      <c r="W38" s="530">
        <v>350</v>
      </c>
      <c r="X38" s="527">
        <f t="shared" si="1"/>
        <v>10500</v>
      </c>
      <c r="Y38" s="530">
        <v>35</v>
      </c>
      <c r="Z38" s="530">
        <v>1250</v>
      </c>
      <c r="AA38" s="527">
        <f t="shared" si="2"/>
        <v>43750</v>
      </c>
      <c r="AB38" s="531"/>
      <c r="AC38" s="531"/>
      <c r="AD38" s="527">
        <f t="shared" si="5"/>
        <v>0</v>
      </c>
      <c r="AE38" s="527"/>
      <c r="AF38" s="527"/>
      <c r="AG38" s="626"/>
      <c r="AH38" s="626"/>
      <c r="AI38" s="527">
        <f t="shared" si="3"/>
        <v>0</v>
      </c>
      <c r="AJ38" s="626"/>
      <c r="AK38" s="626"/>
      <c r="AL38" s="527">
        <f t="shared" si="8"/>
        <v>0</v>
      </c>
      <c r="AM38" s="527">
        <v>1500</v>
      </c>
      <c r="AN38" s="527">
        <f t="shared" si="6"/>
        <v>55750</v>
      </c>
      <c r="AO38" s="76"/>
      <c r="AP38" s="76"/>
      <c r="AQ38" s="76"/>
      <c r="AR38" s="76"/>
      <c r="AS38" s="76"/>
      <c r="AT38" s="619">
        <f t="shared" si="7"/>
        <v>55750</v>
      </c>
    </row>
    <row r="39" spans="1:46" s="526" customFormat="1" ht="42.75" customHeight="1">
      <c r="A39" s="413"/>
      <c r="B39" s="617"/>
      <c r="C39" s="1017"/>
      <c r="D39" s="1021"/>
      <c r="E39" s="413" t="s">
        <v>907</v>
      </c>
      <c r="F39" s="136" t="s">
        <v>414</v>
      </c>
      <c r="G39" s="136"/>
      <c r="H39" s="136"/>
      <c r="I39" s="528"/>
      <c r="J39" s="529"/>
      <c r="K39" s="529"/>
      <c r="L39" s="618">
        <f t="shared" si="4"/>
        <v>0</v>
      </c>
      <c r="M39" s="537"/>
      <c r="N39" s="537"/>
      <c r="O39" s="537"/>
      <c r="P39" s="537"/>
      <c r="Q39" s="537"/>
      <c r="R39" s="537"/>
      <c r="S39" s="537"/>
      <c r="T39" s="537"/>
      <c r="U39" s="527">
        <f t="shared" si="0"/>
        <v>0</v>
      </c>
      <c r="V39" s="530">
        <v>10</v>
      </c>
      <c r="W39" s="530">
        <v>350</v>
      </c>
      <c r="X39" s="527">
        <f t="shared" si="1"/>
        <v>3500</v>
      </c>
      <c r="Y39" s="530">
        <v>10</v>
      </c>
      <c r="Z39" s="530">
        <v>1250</v>
      </c>
      <c r="AA39" s="527">
        <f t="shared" si="2"/>
        <v>12500</v>
      </c>
      <c r="AB39" s="531"/>
      <c r="AC39" s="531"/>
      <c r="AD39" s="527">
        <f t="shared" si="5"/>
        <v>0</v>
      </c>
      <c r="AE39" s="527"/>
      <c r="AF39" s="527"/>
      <c r="AG39" s="626"/>
      <c r="AH39" s="626"/>
      <c r="AI39" s="527">
        <f t="shared" si="3"/>
        <v>0</v>
      </c>
      <c r="AJ39" s="626"/>
      <c r="AK39" s="626"/>
      <c r="AL39" s="527"/>
      <c r="AM39" s="527"/>
      <c r="AN39" s="527">
        <f t="shared" si="6"/>
        <v>16000</v>
      </c>
      <c r="AO39" s="76"/>
      <c r="AP39" s="76"/>
      <c r="AQ39" s="76"/>
      <c r="AR39" s="76"/>
      <c r="AS39" s="76"/>
      <c r="AT39" s="619">
        <f t="shared" si="7"/>
        <v>16000</v>
      </c>
    </row>
    <row r="40" spans="1:46" s="532" customFormat="1" ht="40.5" customHeight="1">
      <c r="A40" s="413"/>
      <c r="B40" s="617"/>
      <c r="C40" s="1017"/>
      <c r="D40" s="1021"/>
      <c r="E40" s="413" t="s">
        <v>908</v>
      </c>
      <c r="F40" s="136" t="s">
        <v>415</v>
      </c>
      <c r="G40" s="136"/>
      <c r="H40" s="136"/>
      <c r="I40" s="528"/>
      <c r="J40" s="529"/>
      <c r="K40" s="529"/>
      <c r="L40" s="618">
        <f t="shared" si="4"/>
        <v>0</v>
      </c>
      <c r="M40" s="537"/>
      <c r="N40" s="537"/>
      <c r="O40" s="537"/>
      <c r="P40" s="537"/>
      <c r="Q40" s="537"/>
      <c r="R40" s="537"/>
      <c r="S40" s="537"/>
      <c r="T40" s="537"/>
      <c r="U40" s="527">
        <f t="shared" si="0"/>
        <v>0</v>
      </c>
      <c r="V40" s="530">
        <v>10</v>
      </c>
      <c r="W40" s="530">
        <v>350</v>
      </c>
      <c r="X40" s="527">
        <f t="shared" si="1"/>
        <v>3500</v>
      </c>
      <c r="Y40" s="530">
        <v>20</v>
      </c>
      <c r="Z40" s="530">
        <v>1250</v>
      </c>
      <c r="AA40" s="527">
        <f t="shared" si="2"/>
        <v>25000</v>
      </c>
      <c r="AB40" s="531"/>
      <c r="AC40" s="531"/>
      <c r="AD40" s="527">
        <f t="shared" si="5"/>
        <v>0</v>
      </c>
      <c r="AE40" s="527"/>
      <c r="AF40" s="527"/>
      <c r="AG40" s="626"/>
      <c r="AH40" s="626"/>
      <c r="AI40" s="527">
        <f t="shared" si="3"/>
        <v>0</v>
      </c>
      <c r="AJ40" s="626"/>
      <c r="AK40" s="626"/>
      <c r="AL40" s="527">
        <f>AJ40*AK40</f>
        <v>0</v>
      </c>
      <c r="AM40" s="527"/>
      <c r="AN40" s="527">
        <f t="shared" si="6"/>
        <v>28500</v>
      </c>
      <c r="AO40" s="76"/>
      <c r="AP40" s="76"/>
      <c r="AQ40" s="76"/>
      <c r="AR40" s="76"/>
      <c r="AS40" s="76"/>
      <c r="AT40" s="619">
        <f t="shared" si="7"/>
        <v>28500</v>
      </c>
    </row>
    <row r="41" spans="1:46" s="536" customFormat="1" ht="57.75" customHeight="1">
      <c r="A41" s="413"/>
      <c r="B41" s="617"/>
      <c r="C41" s="1017"/>
      <c r="D41" s="1021"/>
      <c r="E41" s="413" t="s">
        <v>909</v>
      </c>
      <c r="F41" s="136" t="s">
        <v>416</v>
      </c>
      <c r="G41" s="136"/>
      <c r="H41" s="136" t="s">
        <v>85</v>
      </c>
      <c r="I41" s="528"/>
      <c r="J41" s="621"/>
      <c r="K41" s="621"/>
      <c r="L41" s="618">
        <f t="shared" si="4"/>
        <v>0</v>
      </c>
      <c r="M41" s="537">
        <v>15</v>
      </c>
      <c r="N41" s="537">
        <v>2</v>
      </c>
      <c r="O41" s="622">
        <v>20</v>
      </c>
      <c r="P41" s="622">
        <v>350</v>
      </c>
      <c r="Q41" s="622">
        <v>25</v>
      </c>
      <c r="R41" s="622">
        <v>50</v>
      </c>
      <c r="S41" s="622">
        <v>10</v>
      </c>
      <c r="T41" s="622"/>
      <c r="U41" s="527">
        <f t="shared" si="0"/>
        <v>58500</v>
      </c>
      <c r="V41" s="627">
        <v>250</v>
      </c>
      <c r="W41" s="622">
        <v>350</v>
      </c>
      <c r="X41" s="527">
        <f t="shared" si="1"/>
        <v>87500</v>
      </c>
      <c r="Y41" s="627">
        <f>35+(19*10)</f>
        <v>225</v>
      </c>
      <c r="Z41" s="622">
        <v>1250</v>
      </c>
      <c r="AA41" s="527">
        <f t="shared" si="2"/>
        <v>281250</v>
      </c>
      <c r="AB41" s="623"/>
      <c r="AC41" s="623"/>
      <c r="AD41" s="527">
        <f t="shared" si="5"/>
        <v>0</v>
      </c>
      <c r="AE41" s="624"/>
      <c r="AF41" s="624"/>
      <c r="AG41" s="552"/>
      <c r="AH41" s="552"/>
      <c r="AI41" s="527">
        <f t="shared" si="3"/>
        <v>0</v>
      </c>
      <c r="AJ41" s="552"/>
      <c r="AK41" s="552"/>
      <c r="AL41" s="527">
        <f>AJ41*AK41</f>
        <v>0</v>
      </c>
      <c r="AM41" s="625"/>
      <c r="AN41" s="527">
        <f t="shared" si="6"/>
        <v>427250</v>
      </c>
      <c r="AO41" s="76"/>
      <c r="AP41" s="76"/>
      <c r="AQ41" s="76"/>
      <c r="AR41" s="76"/>
      <c r="AS41" s="76"/>
      <c r="AT41" s="619">
        <f t="shared" si="7"/>
        <v>427250</v>
      </c>
    </row>
    <row r="42" spans="1:46" s="536" customFormat="1" ht="24" customHeight="1">
      <c r="A42" s="413"/>
      <c r="B42" s="628"/>
      <c r="C42" s="629"/>
      <c r="D42" s="454"/>
      <c r="E42" s="454"/>
      <c r="F42" s="455"/>
      <c r="G42" s="455"/>
      <c r="H42" s="455"/>
      <c r="I42" s="539"/>
      <c r="J42" s="630"/>
      <c r="K42" s="630"/>
      <c r="L42" s="541">
        <f>SUM(L10:L41)</f>
        <v>259200</v>
      </c>
      <c r="M42" s="541"/>
      <c r="N42" s="541"/>
      <c r="O42" s="541"/>
      <c r="P42" s="541"/>
      <c r="Q42" s="541"/>
      <c r="R42" s="541"/>
      <c r="S42" s="541"/>
      <c r="T42" s="541"/>
      <c r="U42" s="541">
        <f>SUM(U10:U41)</f>
        <v>780425</v>
      </c>
      <c r="V42" s="541"/>
      <c r="W42" s="541"/>
      <c r="X42" s="541">
        <f>SUM(X10:X41)</f>
        <v>2163000</v>
      </c>
      <c r="Y42" s="541"/>
      <c r="Z42" s="541"/>
      <c r="AA42" s="541">
        <f>SUM(AA10:AA41)</f>
        <v>5637500</v>
      </c>
      <c r="AB42" s="541"/>
      <c r="AC42" s="541"/>
      <c r="AD42" s="541">
        <f aca="true" t="shared" si="9" ref="AD42:AT42">SUM(AD10:AD41)</f>
        <v>28500</v>
      </c>
      <c r="AE42" s="541">
        <f t="shared" si="9"/>
        <v>0</v>
      </c>
      <c r="AF42" s="541">
        <f t="shared" si="9"/>
        <v>250000</v>
      </c>
      <c r="AG42" s="643">
        <f t="shared" si="9"/>
        <v>0</v>
      </c>
      <c r="AH42" s="643">
        <f t="shared" si="9"/>
        <v>0</v>
      </c>
      <c r="AI42" s="541">
        <f t="shared" si="9"/>
        <v>0</v>
      </c>
      <c r="AJ42" s="643">
        <f t="shared" si="9"/>
        <v>0</v>
      </c>
      <c r="AK42" s="643">
        <f t="shared" si="9"/>
        <v>0</v>
      </c>
      <c r="AL42" s="541">
        <f t="shared" si="9"/>
        <v>0</v>
      </c>
      <c r="AM42" s="541">
        <f t="shared" si="9"/>
        <v>85400</v>
      </c>
      <c r="AN42" s="541">
        <f t="shared" si="9"/>
        <v>9204025</v>
      </c>
      <c r="AO42" s="541">
        <f t="shared" si="9"/>
        <v>8000</v>
      </c>
      <c r="AP42" s="541">
        <f t="shared" si="9"/>
        <v>450000</v>
      </c>
      <c r="AQ42" s="541">
        <f t="shared" si="9"/>
        <v>0</v>
      </c>
      <c r="AR42" s="541">
        <f t="shared" si="9"/>
        <v>300000</v>
      </c>
      <c r="AS42" s="541">
        <f t="shared" si="9"/>
        <v>0</v>
      </c>
      <c r="AT42" s="541">
        <f t="shared" si="9"/>
        <v>8446025</v>
      </c>
    </row>
    <row r="43" spans="1:46" s="532" customFormat="1" ht="32.25" customHeight="1" thickBot="1">
      <c r="A43" s="1096" t="s">
        <v>1190</v>
      </c>
      <c r="B43" s="1097"/>
      <c r="C43" s="1097"/>
      <c r="D43" s="1097"/>
      <c r="E43" s="1097"/>
      <c r="F43" s="1097"/>
      <c r="G43" s="1097"/>
      <c r="H43" s="1097"/>
      <c r="I43" s="1097"/>
      <c r="J43" s="1097"/>
      <c r="K43" s="1097"/>
      <c r="L43" s="1097"/>
      <c r="M43" s="1097"/>
      <c r="N43" s="1097"/>
      <c r="O43" s="1097"/>
      <c r="P43" s="1097"/>
      <c r="Q43" s="1097"/>
      <c r="R43" s="1097"/>
      <c r="S43" s="1097"/>
      <c r="T43" s="1097"/>
      <c r="U43" s="1097"/>
      <c r="V43" s="1097"/>
      <c r="W43" s="1097"/>
      <c r="X43" s="1097"/>
      <c r="Y43" s="1097"/>
      <c r="Z43" s="1097"/>
      <c r="AA43" s="1097"/>
      <c r="AB43" s="1097"/>
      <c r="AC43" s="1097"/>
      <c r="AD43" s="1097"/>
      <c r="AE43" s="1097"/>
      <c r="AF43" s="1097"/>
      <c r="AG43" s="1097"/>
      <c r="AH43" s="1097"/>
      <c r="AI43" s="1097"/>
      <c r="AJ43" s="1097"/>
      <c r="AK43" s="1097"/>
      <c r="AL43" s="1097"/>
      <c r="AM43" s="1097"/>
      <c r="AN43" s="1097"/>
      <c r="AO43" s="1097"/>
      <c r="AP43" s="1097"/>
      <c r="AQ43" s="1097"/>
      <c r="AR43" s="1097"/>
      <c r="AS43" s="1097"/>
      <c r="AT43" s="1098"/>
    </row>
    <row r="44" spans="1:46" s="536" customFormat="1" ht="28.5" customHeight="1" thickBot="1">
      <c r="A44" s="1021">
        <v>3</v>
      </c>
      <c r="B44" s="1000"/>
      <c r="C44" s="1021">
        <v>2.1</v>
      </c>
      <c r="D44" s="1092" t="s">
        <v>1191</v>
      </c>
      <c r="E44" s="413" t="s">
        <v>910</v>
      </c>
      <c r="F44" s="792" t="s">
        <v>1192</v>
      </c>
      <c r="G44" s="790" t="s">
        <v>911</v>
      </c>
      <c r="H44" s="136"/>
      <c r="I44" s="528"/>
      <c r="J44" s="621"/>
      <c r="K44" s="621"/>
      <c r="L44" s="618">
        <f t="shared" si="4"/>
        <v>0</v>
      </c>
      <c r="M44" s="537"/>
      <c r="N44" s="537"/>
      <c r="O44" s="622"/>
      <c r="P44" s="622"/>
      <c r="Q44" s="622"/>
      <c r="R44" s="622"/>
      <c r="S44" s="622"/>
      <c r="T44" s="622"/>
      <c r="U44" s="527">
        <f t="shared" si="0"/>
        <v>0</v>
      </c>
      <c r="V44" s="622">
        <v>10</v>
      </c>
      <c r="W44" s="622">
        <v>350</v>
      </c>
      <c r="X44" s="527">
        <f t="shared" si="1"/>
        <v>3500</v>
      </c>
      <c r="Y44" s="622">
        <v>20</v>
      </c>
      <c r="Z44" s="622">
        <v>1200</v>
      </c>
      <c r="AA44" s="527">
        <f t="shared" si="2"/>
        <v>24000</v>
      </c>
      <c r="AB44" s="623"/>
      <c r="AC44" s="623"/>
      <c r="AD44" s="527">
        <f t="shared" si="5"/>
        <v>0</v>
      </c>
      <c r="AE44" s="624"/>
      <c r="AF44" s="624"/>
      <c r="AG44" s="552"/>
      <c r="AH44" s="552"/>
      <c r="AI44" s="527">
        <f t="shared" si="3"/>
        <v>0</v>
      </c>
      <c r="AJ44" s="552"/>
      <c r="AK44" s="552"/>
      <c r="AL44" s="527">
        <f>AJ44*AK44</f>
        <v>0</v>
      </c>
      <c r="AM44" s="625">
        <v>1000</v>
      </c>
      <c r="AN44" s="527">
        <f t="shared" si="6"/>
        <v>28500</v>
      </c>
      <c r="AO44" s="76"/>
      <c r="AP44" s="76"/>
      <c r="AQ44" s="76"/>
      <c r="AR44" s="76"/>
      <c r="AS44" s="76"/>
      <c r="AT44" s="619">
        <f t="shared" si="7"/>
        <v>28500</v>
      </c>
    </row>
    <row r="45" spans="1:46" ht="22.5">
      <c r="A45" s="1021"/>
      <c r="B45" s="1000"/>
      <c r="C45" s="1021"/>
      <c r="D45" s="1092"/>
      <c r="E45" s="413" t="s">
        <v>912</v>
      </c>
      <c r="F45" s="108" t="s">
        <v>1193</v>
      </c>
      <c r="G45" s="790" t="s">
        <v>913</v>
      </c>
      <c r="H45" s="136"/>
      <c r="I45" s="528"/>
      <c r="J45" s="529"/>
      <c r="K45" s="529"/>
      <c r="L45" s="618">
        <f t="shared" si="4"/>
        <v>0</v>
      </c>
      <c r="M45" s="537"/>
      <c r="N45" s="537"/>
      <c r="O45" s="537"/>
      <c r="P45" s="537"/>
      <c r="Q45" s="537"/>
      <c r="R45" s="537"/>
      <c r="S45" s="537"/>
      <c r="T45" s="537"/>
      <c r="U45" s="527">
        <f t="shared" si="0"/>
        <v>0</v>
      </c>
      <c r="V45" s="530">
        <v>60</v>
      </c>
      <c r="W45" s="530">
        <v>350</v>
      </c>
      <c r="X45" s="527">
        <f t="shared" si="1"/>
        <v>21000</v>
      </c>
      <c r="Y45" s="530">
        <v>50</v>
      </c>
      <c r="Z45" s="530">
        <v>1200</v>
      </c>
      <c r="AA45" s="527">
        <f t="shared" si="2"/>
        <v>60000</v>
      </c>
      <c r="AB45" s="531"/>
      <c r="AC45" s="531"/>
      <c r="AD45" s="527">
        <f t="shared" si="5"/>
        <v>0</v>
      </c>
      <c r="AE45" s="527"/>
      <c r="AF45" s="527"/>
      <c r="AG45" s="626"/>
      <c r="AH45" s="626"/>
      <c r="AI45" s="527">
        <f t="shared" si="3"/>
        <v>0</v>
      </c>
      <c r="AJ45" s="626"/>
      <c r="AK45" s="626"/>
      <c r="AL45" s="527"/>
      <c r="AM45" s="527">
        <v>1500</v>
      </c>
      <c r="AN45" s="527">
        <f t="shared" si="6"/>
        <v>82500</v>
      </c>
      <c r="AO45" s="76"/>
      <c r="AP45" s="76"/>
      <c r="AQ45" s="76"/>
      <c r="AR45" s="76"/>
      <c r="AS45" s="76"/>
      <c r="AT45" s="619">
        <f t="shared" si="7"/>
        <v>82500</v>
      </c>
    </row>
    <row r="46" spans="1:46" ht="12" thickBot="1">
      <c r="A46" s="1021"/>
      <c r="B46" s="1000"/>
      <c r="C46" s="1021"/>
      <c r="D46" s="1092"/>
      <c r="E46" s="413" t="s">
        <v>914</v>
      </c>
      <c r="F46" s="108"/>
      <c r="G46" s="136"/>
      <c r="H46" s="136"/>
      <c r="I46" s="528"/>
      <c r="J46" s="529"/>
      <c r="K46" s="529"/>
      <c r="L46" s="618">
        <f t="shared" si="4"/>
        <v>0</v>
      </c>
      <c r="M46" s="537"/>
      <c r="N46" s="537"/>
      <c r="O46" s="537"/>
      <c r="P46" s="537"/>
      <c r="Q46" s="537"/>
      <c r="R46" s="537"/>
      <c r="S46" s="537"/>
      <c r="T46" s="537"/>
      <c r="U46" s="527">
        <f t="shared" si="0"/>
        <v>0</v>
      </c>
      <c r="V46" s="530"/>
      <c r="W46" s="530"/>
      <c r="X46" s="527">
        <f t="shared" si="1"/>
        <v>0</v>
      </c>
      <c r="Y46" s="530"/>
      <c r="Z46" s="530"/>
      <c r="AA46" s="527">
        <f t="shared" si="2"/>
        <v>0</v>
      </c>
      <c r="AB46" s="531"/>
      <c r="AC46" s="531"/>
      <c r="AD46" s="527">
        <f t="shared" si="5"/>
        <v>0</v>
      </c>
      <c r="AE46" s="527"/>
      <c r="AF46" s="527"/>
      <c r="AG46" s="626"/>
      <c r="AH46" s="626"/>
      <c r="AI46" s="527">
        <f t="shared" si="3"/>
        <v>0</v>
      </c>
      <c r="AJ46" s="626"/>
      <c r="AK46" s="626"/>
      <c r="AL46" s="527">
        <f>AJ46*AK46</f>
        <v>0</v>
      </c>
      <c r="AM46" s="527"/>
      <c r="AN46" s="527">
        <f t="shared" si="6"/>
        <v>0</v>
      </c>
      <c r="AO46" s="76"/>
      <c r="AP46" s="76"/>
      <c r="AQ46" s="76"/>
      <c r="AR46" s="76"/>
      <c r="AS46" s="76"/>
      <c r="AT46" s="619">
        <f t="shared" si="7"/>
        <v>0</v>
      </c>
    </row>
    <row r="47" spans="1:46" ht="75" customHeight="1" thickBot="1">
      <c r="A47" s="1021"/>
      <c r="B47" s="1000"/>
      <c r="C47" s="1021">
        <v>2.2</v>
      </c>
      <c r="D47" s="1092" t="s">
        <v>1194</v>
      </c>
      <c r="E47" s="413" t="s">
        <v>915</v>
      </c>
      <c r="F47" s="792" t="s">
        <v>417</v>
      </c>
      <c r="G47" s="790" t="s">
        <v>916</v>
      </c>
      <c r="H47" s="136"/>
      <c r="I47" s="528"/>
      <c r="J47" s="529"/>
      <c r="K47" s="529"/>
      <c r="L47" s="618">
        <f t="shared" si="4"/>
        <v>0</v>
      </c>
      <c r="M47" s="537"/>
      <c r="N47" s="537"/>
      <c r="O47" s="537"/>
      <c r="P47" s="537"/>
      <c r="Q47" s="537"/>
      <c r="R47" s="537"/>
      <c r="S47" s="537"/>
      <c r="T47" s="537"/>
      <c r="U47" s="527">
        <f t="shared" si="0"/>
        <v>0</v>
      </c>
      <c r="V47" s="530">
        <v>20</v>
      </c>
      <c r="W47" s="530">
        <v>350</v>
      </c>
      <c r="X47" s="527">
        <f t="shared" si="1"/>
        <v>7000</v>
      </c>
      <c r="Y47" s="530">
        <v>20</v>
      </c>
      <c r="Z47" s="530">
        <v>1200</v>
      </c>
      <c r="AA47" s="527">
        <f t="shared" si="2"/>
        <v>24000</v>
      </c>
      <c r="AB47" s="531"/>
      <c r="AC47" s="531"/>
      <c r="AD47" s="527">
        <f t="shared" si="5"/>
        <v>0</v>
      </c>
      <c r="AE47" s="527"/>
      <c r="AF47" s="527"/>
      <c r="AG47" s="626"/>
      <c r="AH47" s="626"/>
      <c r="AI47" s="527">
        <f t="shared" si="3"/>
        <v>0</v>
      </c>
      <c r="AJ47" s="626"/>
      <c r="AK47" s="626"/>
      <c r="AL47" s="527">
        <f>AJ47*AK47</f>
        <v>0</v>
      </c>
      <c r="AM47" s="527">
        <v>2000</v>
      </c>
      <c r="AN47" s="527">
        <f t="shared" si="6"/>
        <v>33000</v>
      </c>
      <c r="AO47" s="76"/>
      <c r="AP47" s="76"/>
      <c r="AQ47" s="76"/>
      <c r="AR47" s="76"/>
      <c r="AS47" s="76"/>
      <c r="AT47" s="619">
        <f t="shared" si="7"/>
        <v>33000</v>
      </c>
    </row>
    <row r="48" spans="1:46" ht="51.75" customHeight="1" thickBot="1">
      <c r="A48" s="1021"/>
      <c r="B48" s="1000"/>
      <c r="C48" s="1021"/>
      <c r="D48" s="1092"/>
      <c r="E48" s="413" t="s">
        <v>917</v>
      </c>
      <c r="F48" s="108" t="s">
        <v>418</v>
      </c>
      <c r="G48" s="790" t="s">
        <v>918</v>
      </c>
      <c r="H48" s="136"/>
      <c r="I48" s="528"/>
      <c r="J48" s="529"/>
      <c r="K48" s="529"/>
      <c r="L48" s="618">
        <f t="shared" si="4"/>
        <v>0</v>
      </c>
      <c r="M48" s="537"/>
      <c r="N48" s="537"/>
      <c r="O48" s="537"/>
      <c r="P48" s="537"/>
      <c r="Q48" s="537"/>
      <c r="R48" s="537"/>
      <c r="S48" s="537"/>
      <c r="T48" s="537"/>
      <c r="U48" s="527">
        <f t="shared" si="0"/>
        <v>0</v>
      </c>
      <c r="V48" s="530">
        <v>2</v>
      </c>
      <c r="W48" s="530">
        <v>350</v>
      </c>
      <c r="X48" s="527">
        <f t="shared" si="1"/>
        <v>700</v>
      </c>
      <c r="Y48" s="530">
        <v>5</v>
      </c>
      <c r="Z48" s="530">
        <v>1200</v>
      </c>
      <c r="AA48" s="527">
        <f t="shared" si="2"/>
        <v>6000</v>
      </c>
      <c r="AB48" s="531"/>
      <c r="AC48" s="531"/>
      <c r="AD48" s="527">
        <f t="shared" si="5"/>
        <v>0</v>
      </c>
      <c r="AE48" s="527"/>
      <c r="AF48" s="527"/>
      <c r="AG48" s="626"/>
      <c r="AH48" s="626"/>
      <c r="AI48" s="527">
        <f t="shared" si="3"/>
        <v>0</v>
      </c>
      <c r="AJ48" s="626"/>
      <c r="AK48" s="626"/>
      <c r="AL48" s="527"/>
      <c r="AM48" s="527"/>
      <c r="AN48" s="527">
        <f t="shared" si="6"/>
        <v>6700</v>
      </c>
      <c r="AO48" s="76"/>
      <c r="AP48" s="76"/>
      <c r="AQ48" s="76"/>
      <c r="AR48" s="76"/>
      <c r="AS48" s="76"/>
      <c r="AT48" s="619">
        <f t="shared" si="7"/>
        <v>6700</v>
      </c>
    </row>
    <row r="49" spans="1:46" ht="42.75" customHeight="1" thickBot="1">
      <c r="A49" s="1021"/>
      <c r="B49" s="1000"/>
      <c r="C49" s="1021"/>
      <c r="D49" s="1092"/>
      <c r="E49" s="413" t="s">
        <v>919</v>
      </c>
      <c r="F49" s="108" t="s">
        <v>1195</v>
      </c>
      <c r="G49" s="790" t="s">
        <v>920</v>
      </c>
      <c r="H49" s="136"/>
      <c r="I49" s="528"/>
      <c r="J49" s="529"/>
      <c r="K49" s="529"/>
      <c r="L49" s="618">
        <f t="shared" si="4"/>
        <v>0</v>
      </c>
      <c r="M49" s="537"/>
      <c r="N49" s="537"/>
      <c r="O49" s="537"/>
      <c r="P49" s="537"/>
      <c r="Q49" s="537"/>
      <c r="R49" s="537"/>
      <c r="S49" s="537"/>
      <c r="T49" s="537"/>
      <c r="U49" s="527">
        <f t="shared" si="0"/>
        <v>0</v>
      </c>
      <c r="V49" s="530">
        <v>5</v>
      </c>
      <c r="W49" s="530">
        <v>350</v>
      </c>
      <c r="X49" s="527">
        <f t="shared" si="1"/>
        <v>1750</v>
      </c>
      <c r="Y49" s="530">
        <v>10</v>
      </c>
      <c r="Z49" s="530">
        <v>1200</v>
      </c>
      <c r="AA49" s="527">
        <f t="shared" si="2"/>
        <v>12000</v>
      </c>
      <c r="AB49" s="531"/>
      <c r="AC49" s="531"/>
      <c r="AD49" s="527">
        <f t="shared" si="5"/>
        <v>0</v>
      </c>
      <c r="AE49" s="527"/>
      <c r="AF49" s="527"/>
      <c r="AG49" s="626"/>
      <c r="AH49" s="626"/>
      <c r="AI49" s="527">
        <f t="shared" si="3"/>
        <v>0</v>
      </c>
      <c r="AJ49" s="626"/>
      <c r="AK49" s="626"/>
      <c r="AL49" s="527">
        <f>AJ49*AK49</f>
        <v>0</v>
      </c>
      <c r="AM49" s="527">
        <v>1000</v>
      </c>
      <c r="AN49" s="527">
        <f t="shared" si="6"/>
        <v>14750</v>
      </c>
      <c r="AO49" s="76"/>
      <c r="AP49" s="76"/>
      <c r="AQ49" s="76"/>
      <c r="AR49" s="76"/>
      <c r="AS49" s="76"/>
      <c r="AT49" s="619">
        <f t="shared" si="7"/>
        <v>14750</v>
      </c>
    </row>
    <row r="50" spans="1:46" ht="46.5" customHeight="1">
      <c r="A50" s="1021"/>
      <c r="B50" s="1000"/>
      <c r="C50" s="1021">
        <v>2.3</v>
      </c>
      <c r="D50" s="1092" t="s">
        <v>419</v>
      </c>
      <c r="E50" s="413" t="s">
        <v>921</v>
      </c>
      <c r="F50" s="115" t="s">
        <v>1196</v>
      </c>
      <c r="G50" s="790" t="s">
        <v>922</v>
      </c>
      <c r="H50" s="136"/>
      <c r="I50" s="528"/>
      <c r="J50" s="529"/>
      <c r="K50" s="529"/>
      <c r="L50" s="618">
        <f t="shared" si="4"/>
        <v>0</v>
      </c>
      <c r="M50" s="537"/>
      <c r="N50" s="537"/>
      <c r="O50" s="537"/>
      <c r="P50" s="537"/>
      <c r="Q50" s="537"/>
      <c r="R50" s="537"/>
      <c r="S50" s="537"/>
      <c r="T50" s="537"/>
      <c r="U50" s="527">
        <f t="shared" si="0"/>
        <v>0</v>
      </c>
      <c r="V50" s="530"/>
      <c r="W50" s="530"/>
      <c r="X50" s="527">
        <f t="shared" si="1"/>
        <v>0</v>
      </c>
      <c r="Y50" s="530"/>
      <c r="Z50" s="530"/>
      <c r="AA50" s="527">
        <f t="shared" si="2"/>
        <v>0</v>
      </c>
      <c r="AB50" s="531"/>
      <c r="AC50" s="531"/>
      <c r="AD50" s="527">
        <f t="shared" si="5"/>
        <v>0</v>
      </c>
      <c r="AE50" s="527"/>
      <c r="AF50" s="527"/>
      <c r="AG50" s="626"/>
      <c r="AH50" s="626"/>
      <c r="AI50" s="527">
        <f t="shared" si="3"/>
        <v>0</v>
      </c>
      <c r="AJ50" s="626"/>
      <c r="AK50" s="626"/>
      <c r="AL50" s="527">
        <f>AJ50*AK50</f>
        <v>0</v>
      </c>
      <c r="AM50" s="527">
        <v>7500</v>
      </c>
      <c r="AN50" s="527">
        <f t="shared" si="6"/>
        <v>7500</v>
      </c>
      <c r="AO50" s="76">
        <v>7500</v>
      </c>
      <c r="AP50" s="76"/>
      <c r="AQ50" s="76"/>
      <c r="AR50" s="76"/>
      <c r="AS50" s="76"/>
      <c r="AT50" s="619">
        <f t="shared" si="7"/>
        <v>0</v>
      </c>
    </row>
    <row r="51" spans="1:46" ht="27" customHeight="1" thickBot="1">
      <c r="A51" s="1021"/>
      <c r="B51" s="1000"/>
      <c r="C51" s="1021"/>
      <c r="D51" s="1092"/>
      <c r="E51" s="413" t="s">
        <v>923</v>
      </c>
      <c r="F51" s="136"/>
      <c r="G51" s="136"/>
      <c r="H51" s="136"/>
      <c r="I51" s="528"/>
      <c r="J51" s="529"/>
      <c r="K51" s="529"/>
      <c r="L51" s="618">
        <f t="shared" si="4"/>
        <v>0</v>
      </c>
      <c r="M51" s="537"/>
      <c r="N51" s="537"/>
      <c r="O51" s="537"/>
      <c r="P51" s="537"/>
      <c r="Q51" s="537"/>
      <c r="R51" s="537"/>
      <c r="S51" s="537"/>
      <c r="T51" s="537"/>
      <c r="U51" s="527">
        <f t="shared" si="0"/>
        <v>0</v>
      </c>
      <c r="V51" s="530"/>
      <c r="W51" s="530"/>
      <c r="X51" s="527">
        <f t="shared" si="1"/>
        <v>0</v>
      </c>
      <c r="Y51" s="530"/>
      <c r="Z51" s="530"/>
      <c r="AA51" s="527">
        <f t="shared" si="2"/>
        <v>0</v>
      </c>
      <c r="AB51" s="531"/>
      <c r="AC51" s="531"/>
      <c r="AD51" s="527">
        <f t="shared" si="5"/>
        <v>0</v>
      </c>
      <c r="AE51" s="527"/>
      <c r="AF51" s="527"/>
      <c r="AG51" s="626"/>
      <c r="AH51" s="626"/>
      <c r="AI51" s="527">
        <f t="shared" si="3"/>
        <v>0</v>
      </c>
      <c r="AJ51" s="626"/>
      <c r="AK51" s="626"/>
      <c r="AL51" s="527">
        <f>AJ51*AK51</f>
        <v>0</v>
      </c>
      <c r="AM51" s="527"/>
      <c r="AN51" s="527">
        <f t="shared" si="6"/>
        <v>0</v>
      </c>
      <c r="AO51" s="76"/>
      <c r="AP51" s="76"/>
      <c r="AQ51" s="76"/>
      <c r="AR51" s="76"/>
      <c r="AS51" s="76"/>
      <c r="AT51" s="619">
        <f t="shared" si="7"/>
        <v>0</v>
      </c>
    </row>
    <row r="52" spans="1:46" ht="42.75" customHeight="1" thickBot="1">
      <c r="A52" s="1021"/>
      <c r="B52" s="1000"/>
      <c r="C52" s="1021">
        <v>2.4</v>
      </c>
      <c r="D52" s="1092" t="s">
        <v>422</v>
      </c>
      <c r="E52" s="413" t="s">
        <v>924</v>
      </c>
      <c r="F52" s="136" t="s">
        <v>420</v>
      </c>
      <c r="G52" s="790" t="s">
        <v>925</v>
      </c>
      <c r="H52" s="136"/>
      <c r="I52" s="528"/>
      <c r="J52" s="529"/>
      <c r="K52" s="529"/>
      <c r="L52" s="618">
        <f t="shared" si="4"/>
        <v>0</v>
      </c>
      <c r="M52" s="537"/>
      <c r="N52" s="537"/>
      <c r="O52" s="537"/>
      <c r="P52" s="537"/>
      <c r="Q52" s="537"/>
      <c r="R52" s="537"/>
      <c r="S52" s="537"/>
      <c r="T52" s="537"/>
      <c r="U52" s="527">
        <f t="shared" si="0"/>
        <v>0</v>
      </c>
      <c r="V52" s="530"/>
      <c r="W52" s="530"/>
      <c r="X52" s="527">
        <f t="shared" si="1"/>
        <v>0</v>
      </c>
      <c r="Y52" s="530"/>
      <c r="Z52" s="530"/>
      <c r="AA52" s="527">
        <f t="shared" si="2"/>
        <v>0</v>
      </c>
      <c r="AB52" s="531"/>
      <c r="AC52" s="531"/>
      <c r="AD52" s="527">
        <f t="shared" si="5"/>
        <v>0</v>
      </c>
      <c r="AE52" s="527"/>
      <c r="AF52" s="527"/>
      <c r="AG52" s="626"/>
      <c r="AH52" s="626"/>
      <c r="AI52" s="527">
        <f t="shared" si="3"/>
        <v>0</v>
      </c>
      <c r="AJ52" s="626"/>
      <c r="AK52" s="626"/>
      <c r="AL52" s="527">
        <f>AJ52*AK52</f>
        <v>0</v>
      </c>
      <c r="AM52" s="527">
        <v>9000</v>
      </c>
      <c r="AN52" s="527">
        <f t="shared" si="6"/>
        <v>9000</v>
      </c>
      <c r="AO52" s="76"/>
      <c r="AP52" s="76"/>
      <c r="AQ52" s="76"/>
      <c r="AR52" s="76"/>
      <c r="AS52" s="76"/>
      <c r="AT52" s="619">
        <f t="shared" si="7"/>
        <v>9000</v>
      </c>
    </row>
    <row r="53" spans="1:46" ht="24" customHeight="1" thickBot="1">
      <c r="A53" s="1021"/>
      <c r="B53" s="1000"/>
      <c r="C53" s="1021"/>
      <c r="D53" s="1092"/>
      <c r="E53" s="413" t="s">
        <v>926</v>
      </c>
      <c r="F53" s="136" t="s">
        <v>421</v>
      </c>
      <c r="G53" s="790" t="s">
        <v>927</v>
      </c>
      <c r="H53" s="136"/>
      <c r="I53" s="528"/>
      <c r="J53" s="529"/>
      <c r="K53" s="529"/>
      <c r="L53" s="618">
        <f t="shared" si="4"/>
        <v>0</v>
      </c>
      <c r="M53" s="537"/>
      <c r="N53" s="537"/>
      <c r="O53" s="537"/>
      <c r="P53" s="537"/>
      <c r="Q53" s="537"/>
      <c r="R53" s="537"/>
      <c r="S53" s="537"/>
      <c r="T53" s="537"/>
      <c r="U53" s="527">
        <f t="shared" si="0"/>
        <v>0</v>
      </c>
      <c r="V53" s="530"/>
      <c r="W53" s="530"/>
      <c r="X53" s="527">
        <f t="shared" si="1"/>
        <v>0</v>
      </c>
      <c r="Y53" s="530"/>
      <c r="Z53" s="530"/>
      <c r="AA53" s="527">
        <f t="shared" si="2"/>
        <v>0</v>
      </c>
      <c r="AB53" s="531"/>
      <c r="AC53" s="531"/>
      <c r="AD53" s="527">
        <f t="shared" si="5"/>
        <v>0</v>
      </c>
      <c r="AE53" s="527"/>
      <c r="AF53" s="527"/>
      <c r="AG53" s="626"/>
      <c r="AH53" s="626"/>
      <c r="AI53" s="527">
        <f t="shared" si="3"/>
        <v>0</v>
      </c>
      <c r="AJ53" s="626"/>
      <c r="AK53" s="626"/>
      <c r="AL53" s="527"/>
      <c r="AM53" s="527"/>
      <c r="AN53" s="527">
        <f t="shared" si="6"/>
        <v>0</v>
      </c>
      <c r="AO53" s="76"/>
      <c r="AP53" s="76"/>
      <c r="AQ53" s="76"/>
      <c r="AR53" s="76"/>
      <c r="AS53" s="76"/>
      <c r="AT53" s="619">
        <f t="shared" si="7"/>
        <v>0</v>
      </c>
    </row>
    <row r="54" spans="1:46" ht="45.75" customHeight="1" thickBot="1">
      <c r="A54" s="1021"/>
      <c r="B54" s="1000"/>
      <c r="C54" s="1021"/>
      <c r="D54" s="1092"/>
      <c r="E54" s="413" t="s">
        <v>928</v>
      </c>
      <c r="F54" s="136" t="s">
        <v>1197</v>
      </c>
      <c r="G54" s="790" t="s">
        <v>929</v>
      </c>
      <c r="H54" s="136"/>
      <c r="I54" s="528"/>
      <c r="J54" s="529"/>
      <c r="K54" s="529"/>
      <c r="L54" s="618">
        <f t="shared" si="4"/>
        <v>0</v>
      </c>
      <c r="M54" s="537"/>
      <c r="N54" s="537"/>
      <c r="O54" s="537"/>
      <c r="P54" s="537"/>
      <c r="Q54" s="537"/>
      <c r="R54" s="537"/>
      <c r="S54" s="537"/>
      <c r="T54" s="537"/>
      <c r="U54" s="527">
        <f t="shared" si="0"/>
        <v>0</v>
      </c>
      <c r="V54" s="530"/>
      <c r="W54" s="530"/>
      <c r="X54" s="527">
        <f t="shared" si="1"/>
        <v>0</v>
      </c>
      <c r="Y54" s="530"/>
      <c r="Z54" s="530"/>
      <c r="AA54" s="527">
        <f t="shared" si="2"/>
        <v>0</v>
      </c>
      <c r="AB54" s="531"/>
      <c r="AC54" s="531"/>
      <c r="AD54" s="527">
        <f t="shared" si="5"/>
        <v>0</v>
      </c>
      <c r="AE54" s="527"/>
      <c r="AF54" s="527"/>
      <c r="AG54" s="626"/>
      <c r="AH54" s="626"/>
      <c r="AI54" s="527">
        <f t="shared" si="3"/>
        <v>0</v>
      </c>
      <c r="AJ54" s="626"/>
      <c r="AK54" s="626"/>
      <c r="AL54" s="527"/>
      <c r="AM54" s="527"/>
      <c r="AN54" s="527">
        <f t="shared" si="6"/>
        <v>0</v>
      </c>
      <c r="AO54" s="76"/>
      <c r="AP54" s="76"/>
      <c r="AQ54" s="76"/>
      <c r="AR54" s="76"/>
      <c r="AS54" s="76"/>
      <c r="AT54" s="619">
        <f t="shared" si="7"/>
        <v>0</v>
      </c>
    </row>
    <row r="55" spans="1:46" ht="33.75" customHeight="1" thickBot="1">
      <c r="A55" s="1021"/>
      <c r="B55" s="1000"/>
      <c r="C55" s="1021"/>
      <c r="D55" s="1092"/>
      <c r="E55" s="413" t="s">
        <v>87</v>
      </c>
      <c r="F55" s="534" t="s">
        <v>423</v>
      </c>
      <c r="G55" s="790" t="s">
        <v>930</v>
      </c>
      <c r="H55" s="136"/>
      <c r="I55" s="528"/>
      <c r="J55" s="529"/>
      <c r="K55" s="529"/>
      <c r="L55" s="618">
        <f t="shared" si="4"/>
        <v>0</v>
      </c>
      <c r="M55" s="537"/>
      <c r="N55" s="537"/>
      <c r="O55" s="537"/>
      <c r="P55" s="537"/>
      <c r="Q55" s="537"/>
      <c r="R55" s="537"/>
      <c r="S55" s="537"/>
      <c r="T55" s="537"/>
      <c r="U55" s="527">
        <f t="shared" si="0"/>
        <v>0</v>
      </c>
      <c r="V55" s="530"/>
      <c r="W55" s="530"/>
      <c r="X55" s="527">
        <f t="shared" si="1"/>
        <v>0</v>
      </c>
      <c r="Y55" s="530"/>
      <c r="Z55" s="530"/>
      <c r="AA55" s="527">
        <f t="shared" si="2"/>
        <v>0</v>
      </c>
      <c r="AB55" s="531"/>
      <c r="AC55" s="531"/>
      <c r="AD55" s="527">
        <f t="shared" si="5"/>
        <v>0</v>
      </c>
      <c r="AE55" s="527"/>
      <c r="AF55" s="527"/>
      <c r="AG55" s="626"/>
      <c r="AH55" s="626"/>
      <c r="AI55" s="527">
        <f t="shared" si="3"/>
        <v>0</v>
      </c>
      <c r="AJ55" s="626"/>
      <c r="AK55" s="626"/>
      <c r="AL55" s="527">
        <f>AJ55*AK55</f>
        <v>0</v>
      </c>
      <c r="AM55" s="527">
        <f>(12*1*500)+(12*2*1*80)+(12*1*2*50)</f>
        <v>9120</v>
      </c>
      <c r="AN55" s="527">
        <f t="shared" si="6"/>
        <v>9120</v>
      </c>
      <c r="AO55" s="76"/>
      <c r="AP55" s="76"/>
      <c r="AQ55" s="76"/>
      <c r="AR55" s="76"/>
      <c r="AS55" s="76"/>
      <c r="AT55" s="619">
        <f t="shared" si="7"/>
        <v>9120</v>
      </c>
    </row>
    <row r="56" spans="1:46" ht="45" customHeight="1">
      <c r="A56" s="1021"/>
      <c r="B56" s="1000"/>
      <c r="C56" s="1021">
        <v>2.5</v>
      </c>
      <c r="D56" s="1092" t="s">
        <v>425</v>
      </c>
      <c r="E56" s="413" t="s">
        <v>931</v>
      </c>
      <c r="F56" s="793" t="s">
        <v>443</v>
      </c>
      <c r="G56" s="790" t="s">
        <v>932</v>
      </c>
      <c r="H56" s="136"/>
      <c r="I56" s="528"/>
      <c r="J56" s="529"/>
      <c r="K56" s="529"/>
      <c r="L56" s="618">
        <f t="shared" si="4"/>
        <v>0</v>
      </c>
      <c r="M56" s="537"/>
      <c r="N56" s="537"/>
      <c r="O56" s="537"/>
      <c r="P56" s="537"/>
      <c r="Q56" s="537"/>
      <c r="R56" s="537"/>
      <c r="S56" s="537"/>
      <c r="T56" s="537"/>
      <c r="U56" s="527">
        <f t="shared" si="0"/>
        <v>0</v>
      </c>
      <c r="V56" s="530">
        <v>40</v>
      </c>
      <c r="W56" s="530">
        <v>350</v>
      </c>
      <c r="X56" s="527">
        <f t="shared" si="1"/>
        <v>14000</v>
      </c>
      <c r="Y56" s="530">
        <v>60</v>
      </c>
      <c r="Z56" s="530">
        <v>1200</v>
      </c>
      <c r="AA56" s="527">
        <f t="shared" si="2"/>
        <v>72000</v>
      </c>
      <c r="AB56" s="531"/>
      <c r="AC56" s="531"/>
      <c r="AD56" s="527">
        <f t="shared" si="5"/>
        <v>0</v>
      </c>
      <c r="AE56" s="527"/>
      <c r="AF56" s="527"/>
      <c r="AG56" s="626"/>
      <c r="AH56" s="626"/>
      <c r="AI56" s="527">
        <f t="shared" si="3"/>
        <v>0</v>
      </c>
      <c r="AJ56" s="626"/>
      <c r="AK56" s="626"/>
      <c r="AL56" s="527"/>
      <c r="AM56" s="527">
        <v>2000</v>
      </c>
      <c r="AN56" s="527">
        <f t="shared" si="6"/>
        <v>88000</v>
      </c>
      <c r="AO56" s="76"/>
      <c r="AP56" s="76"/>
      <c r="AQ56" s="76"/>
      <c r="AR56" s="76"/>
      <c r="AS56" s="76"/>
      <c r="AT56" s="619">
        <f t="shared" si="7"/>
        <v>88000</v>
      </c>
    </row>
    <row r="57" spans="1:46" ht="39" customHeight="1" thickBot="1">
      <c r="A57" s="1021"/>
      <c r="B57" s="1000"/>
      <c r="C57" s="1021"/>
      <c r="D57" s="1092"/>
      <c r="E57" s="413" t="s">
        <v>933</v>
      </c>
      <c r="F57" s="534" t="s">
        <v>424</v>
      </c>
      <c r="G57" s="794" t="s">
        <v>431</v>
      </c>
      <c r="H57" s="136"/>
      <c r="I57" s="528"/>
      <c r="J57" s="529"/>
      <c r="K57" s="529"/>
      <c r="L57" s="618">
        <f t="shared" si="4"/>
        <v>0</v>
      </c>
      <c r="M57" s="537"/>
      <c r="N57" s="537"/>
      <c r="O57" s="537"/>
      <c r="P57" s="537"/>
      <c r="Q57" s="537"/>
      <c r="R57" s="537"/>
      <c r="S57" s="537"/>
      <c r="T57" s="537"/>
      <c r="U57" s="527">
        <f t="shared" si="0"/>
        <v>0</v>
      </c>
      <c r="V57" s="530"/>
      <c r="W57" s="530"/>
      <c r="X57" s="527">
        <f t="shared" si="1"/>
        <v>0</v>
      </c>
      <c r="Y57" s="530"/>
      <c r="Z57" s="530"/>
      <c r="AA57" s="527">
        <f t="shared" si="2"/>
        <v>0</v>
      </c>
      <c r="AB57" s="531"/>
      <c r="AC57" s="531"/>
      <c r="AD57" s="527">
        <f t="shared" si="5"/>
        <v>0</v>
      </c>
      <c r="AE57" s="527"/>
      <c r="AF57" s="527"/>
      <c r="AG57" s="626"/>
      <c r="AH57" s="626"/>
      <c r="AI57" s="527">
        <f t="shared" si="3"/>
        <v>0</v>
      </c>
      <c r="AJ57" s="626"/>
      <c r="AK57" s="626"/>
      <c r="AL57" s="527"/>
      <c r="AM57" s="527"/>
      <c r="AN57" s="527">
        <f t="shared" si="6"/>
        <v>0</v>
      </c>
      <c r="AO57" s="76"/>
      <c r="AP57" s="76"/>
      <c r="AQ57" s="76"/>
      <c r="AR57" s="76"/>
      <c r="AS57" s="76"/>
      <c r="AT57" s="619">
        <f t="shared" si="7"/>
        <v>0</v>
      </c>
    </row>
    <row r="58" spans="1:46" ht="51.75" customHeight="1" thickBot="1">
      <c r="A58" s="1021"/>
      <c r="B58" s="1000"/>
      <c r="C58" s="1021"/>
      <c r="D58" s="1092"/>
      <c r="E58" s="413" t="s">
        <v>934</v>
      </c>
      <c r="F58" s="534" t="s">
        <v>426</v>
      </c>
      <c r="G58" s="790" t="s">
        <v>935</v>
      </c>
      <c r="H58" s="136"/>
      <c r="I58" s="528"/>
      <c r="J58" s="529"/>
      <c r="K58" s="529"/>
      <c r="L58" s="618">
        <f t="shared" si="4"/>
        <v>0</v>
      </c>
      <c r="M58" s="537"/>
      <c r="N58" s="537"/>
      <c r="O58" s="537"/>
      <c r="P58" s="537"/>
      <c r="Q58" s="537"/>
      <c r="R58" s="537"/>
      <c r="S58" s="537"/>
      <c r="T58" s="537"/>
      <c r="U58" s="527">
        <f t="shared" si="0"/>
        <v>0</v>
      </c>
      <c r="V58" s="530">
        <v>100</v>
      </c>
      <c r="W58" s="530">
        <v>350</v>
      </c>
      <c r="X58" s="527">
        <f t="shared" si="1"/>
        <v>35000</v>
      </c>
      <c r="Y58" s="530">
        <v>120</v>
      </c>
      <c r="Z58" s="530">
        <v>1200</v>
      </c>
      <c r="AA58" s="527">
        <f t="shared" si="2"/>
        <v>144000</v>
      </c>
      <c r="AB58" s="531"/>
      <c r="AC58" s="531"/>
      <c r="AD58" s="527">
        <f t="shared" si="5"/>
        <v>0</v>
      </c>
      <c r="AE58" s="527"/>
      <c r="AF58" s="527"/>
      <c r="AG58" s="626"/>
      <c r="AH58" s="626"/>
      <c r="AI58" s="527">
        <f t="shared" si="3"/>
        <v>0</v>
      </c>
      <c r="AJ58" s="626"/>
      <c r="AK58" s="626"/>
      <c r="AL58" s="527"/>
      <c r="AM58" s="527">
        <v>5000</v>
      </c>
      <c r="AN58" s="527">
        <f t="shared" si="6"/>
        <v>184000</v>
      </c>
      <c r="AO58" s="76"/>
      <c r="AP58" s="76"/>
      <c r="AQ58" s="76"/>
      <c r="AR58" s="76"/>
      <c r="AS58" s="76"/>
      <c r="AT58" s="619">
        <f t="shared" si="7"/>
        <v>184000</v>
      </c>
    </row>
    <row r="59" spans="1:46" ht="24.75" customHeight="1" thickBot="1">
      <c r="A59" s="1021"/>
      <c r="B59" s="1000"/>
      <c r="C59" s="1021">
        <v>2.6</v>
      </c>
      <c r="D59" s="1092" t="s">
        <v>1248</v>
      </c>
      <c r="E59" s="413" t="s">
        <v>936</v>
      </c>
      <c r="F59" s="19" t="s">
        <v>1198</v>
      </c>
      <c r="G59" s="790" t="s">
        <v>427</v>
      </c>
      <c r="H59" s="136"/>
      <c r="I59" s="528"/>
      <c r="J59" s="529"/>
      <c r="K59" s="529"/>
      <c r="L59" s="618">
        <f t="shared" si="4"/>
        <v>0</v>
      </c>
      <c r="M59" s="537">
        <v>1</v>
      </c>
      <c r="N59" s="537">
        <v>3</v>
      </c>
      <c r="O59" s="537">
        <v>15</v>
      </c>
      <c r="P59" s="537">
        <v>300</v>
      </c>
      <c r="Q59" s="537">
        <v>25</v>
      </c>
      <c r="R59" s="537"/>
      <c r="S59" s="537">
        <v>20</v>
      </c>
      <c r="T59" s="537"/>
      <c r="U59" s="527">
        <f t="shared" si="0"/>
        <v>2325</v>
      </c>
      <c r="V59" s="530">
        <v>5</v>
      </c>
      <c r="W59" s="530">
        <v>350</v>
      </c>
      <c r="X59" s="527">
        <f t="shared" si="1"/>
        <v>1750</v>
      </c>
      <c r="Y59" s="530">
        <v>5</v>
      </c>
      <c r="Z59" s="530">
        <v>350</v>
      </c>
      <c r="AA59" s="527">
        <f t="shared" si="2"/>
        <v>1750</v>
      </c>
      <c r="AB59" s="531"/>
      <c r="AC59" s="531"/>
      <c r="AD59" s="527">
        <f t="shared" si="5"/>
        <v>0</v>
      </c>
      <c r="AE59" s="527"/>
      <c r="AF59" s="527"/>
      <c r="AG59" s="626"/>
      <c r="AH59" s="626"/>
      <c r="AI59" s="527">
        <f t="shared" si="3"/>
        <v>0</v>
      </c>
      <c r="AJ59" s="626"/>
      <c r="AK59" s="626"/>
      <c r="AL59" s="527">
        <f>AJ59*AK59</f>
        <v>0</v>
      </c>
      <c r="AM59" s="527">
        <v>25000</v>
      </c>
      <c r="AN59" s="527">
        <f t="shared" si="6"/>
        <v>30825</v>
      </c>
      <c r="AO59" s="76"/>
      <c r="AP59" s="76"/>
      <c r="AQ59" s="76"/>
      <c r="AR59" s="76"/>
      <c r="AS59" s="76"/>
      <c r="AT59" s="619">
        <f t="shared" si="7"/>
        <v>30825</v>
      </c>
    </row>
    <row r="60" spans="1:46" ht="24.75" customHeight="1" thickBot="1">
      <c r="A60" s="1021"/>
      <c r="B60" s="1000"/>
      <c r="C60" s="1021"/>
      <c r="D60" s="1092"/>
      <c r="E60" s="413" t="s">
        <v>937</v>
      </c>
      <c r="F60" s="19" t="s">
        <v>1199</v>
      </c>
      <c r="G60" s="790" t="s">
        <v>938</v>
      </c>
      <c r="H60" s="136"/>
      <c r="I60" s="528"/>
      <c r="J60" s="529"/>
      <c r="K60" s="529"/>
      <c r="L60" s="618">
        <f t="shared" si="4"/>
        <v>0</v>
      </c>
      <c r="M60" s="537">
        <v>2</v>
      </c>
      <c r="N60" s="537">
        <v>3</v>
      </c>
      <c r="O60" s="537">
        <v>20</v>
      </c>
      <c r="P60" s="537"/>
      <c r="Q60" s="537">
        <v>25</v>
      </c>
      <c r="R60" s="537"/>
      <c r="S60" s="537">
        <v>20</v>
      </c>
      <c r="T60" s="537">
        <v>65</v>
      </c>
      <c r="U60" s="527">
        <f t="shared" si="0"/>
        <v>4190</v>
      </c>
      <c r="V60" s="530"/>
      <c r="W60" s="530"/>
      <c r="X60" s="527">
        <f t="shared" si="1"/>
        <v>0</v>
      </c>
      <c r="Y60" s="530"/>
      <c r="Z60" s="530"/>
      <c r="AA60" s="527">
        <f t="shared" si="2"/>
        <v>0</v>
      </c>
      <c r="AB60" s="531"/>
      <c r="AC60" s="531"/>
      <c r="AD60" s="527">
        <f t="shared" si="5"/>
        <v>0</v>
      </c>
      <c r="AE60" s="527"/>
      <c r="AF60" s="527"/>
      <c r="AG60" s="626"/>
      <c r="AH60" s="626"/>
      <c r="AI60" s="527">
        <f t="shared" si="3"/>
        <v>0</v>
      </c>
      <c r="AJ60" s="626"/>
      <c r="AK60" s="626"/>
      <c r="AL60" s="527"/>
      <c r="AM60" s="527">
        <v>1000</v>
      </c>
      <c r="AN60" s="527">
        <f t="shared" si="6"/>
        <v>5190</v>
      </c>
      <c r="AO60" s="76"/>
      <c r="AP60" s="76"/>
      <c r="AQ60" s="76"/>
      <c r="AR60" s="76"/>
      <c r="AS60" s="76"/>
      <c r="AT60" s="619">
        <f t="shared" si="7"/>
        <v>5190</v>
      </c>
    </row>
    <row r="61" spans="1:46" ht="27" customHeight="1">
      <c r="A61" s="1021"/>
      <c r="B61" s="1000"/>
      <c r="C61" s="1021"/>
      <c r="D61" s="1092"/>
      <c r="E61" s="413" t="s">
        <v>93</v>
      </c>
      <c r="F61" s="19" t="s">
        <v>1200</v>
      </c>
      <c r="G61" s="790" t="s">
        <v>939</v>
      </c>
      <c r="H61" s="136"/>
      <c r="I61" s="528"/>
      <c r="J61" s="621"/>
      <c r="K61" s="621"/>
      <c r="L61" s="618">
        <f t="shared" si="4"/>
        <v>0</v>
      </c>
      <c r="M61" s="537">
        <v>1</v>
      </c>
      <c r="N61" s="537">
        <v>3</v>
      </c>
      <c r="O61" s="622">
        <v>20</v>
      </c>
      <c r="P61" s="537"/>
      <c r="Q61" s="537">
        <v>25</v>
      </c>
      <c r="R61" s="622"/>
      <c r="S61" s="537">
        <v>20</v>
      </c>
      <c r="T61" s="537">
        <v>65</v>
      </c>
      <c r="U61" s="527">
        <f t="shared" si="0"/>
        <v>2095</v>
      </c>
      <c r="V61" s="622"/>
      <c r="W61" s="622"/>
      <c r="X61" s="527">
        <f t="shared" si="1"/>
        <v>0</v>
      </c>
      <c r="Y61" s="622"/>
      <c r="Z61" s="622"/>
      <c r="AA61" s="527">
        <f t="shared" si="2"/>
        <v>0</v>
      </c>
      <c r="AB61" s="623"/>
      <c r="AC61" s="623"/>
      <c r="AD61" s="527">
        <f t="shared" si="5"/>
        <v>0</v>
      </c>
      <c r="AE61" s="624"/>
      <c r="AF61" s="624"/>
      <c r="AG61" s="552"/>
      <c r="AH61" s="552"/>
      <c r="AI61" s="527">
        <f t="shared" si="3"/>
        <v>0</v>
      </c>
      <c r="AJ61" s="626"/>
      <c r="AK61" s="626"/>
      <c r="AL61" s="527">
        <f>AJ61*AK61</f>
        <v>0</v>
      </c>
      <c r="AM61" s="625">
        <v>1000</v>
      </c>
      <c r="AN61" s="527">
        <f t="shared" si="6"/>
        <v>3095</v>
      </c>
      <c r="AO61" s="76"/>
      <c r="AP61" s="76"/>
      <c r="AQ61" s="76"/>
      <c r="AR61" s="76"/>
      <c r="AS61" s="76"/>
      <c r="AT61" s="619">
        <f t="shared" si="7"/>
        <v>3095</v>
      </c>
    </row>
    <row r="62" spans="1:46" ht="46.5" customHeight="1">
      <c r="A62" s="1021"/>
      <c r="B62" s="1000"/>
      <c r="C62" s="1021">
        <v>2.7</v>
      </c>
      <c r="D62" s="1092" t="s">
        <v>428</v>
      </c>
      <c r="E62" s="413" t="s">
        <v>94</v>
      </c>
      <c r="F62" s="136" t="s">
        <v>442</v>
      </c>
      <c r="G62" s="794" t="s">
        <v>940</v>
      </c>
      <c r="H62" s="136"/>
      <c r="I62" s="528"/>
      <c r="J62" s="529"/>
      <c r="K62" s="529"/>
      <c r="L62" s="618">
        <f t="shared" si="4"/>
        <v>0</v>
      </c>
      <c r="M62" s="537"/>
      <c r="N62" s="537"/>
      <c r="O62" s="537"/>
      <c r="P62" s="537"/>
      <c r="Q62" s="537"/>
      <c r="R62" s="537"/>
      <c r="S62" s="537"/>
      <c r="T62" s="537"/>
      <c r="U62" s="527">
        <f t="shared" si="0"/>
        <v>0</v>
      </c>
      <c r="V62" s="530"/>
      <c r="W62" s="530"/>
      <c r="X62" s="527">
        <f t="shared" si="1"/>
        <v>0</v>
      </c>
      <c r="Y62" s="530"/>
      <c r="Z62" s="530"/>
      <c r="AA62" s="527">
        <f t="shared" si="2"/>
        <v>0</v>
      </c>
      <c r="AB62" s="531"/>
      <c r="AC62" s="531"/>
      <c r="AD62" s="527">
        <f t="shared" si="5"/>
        <v>0</v>
      </c>
      <c r="AE62" s="527"/>
      <c r="AF62" s="527"/>
      <c r="AG62" s="626"/>
      <c r="AH62" s="626"/>
      <c r="AI62" s="527">
        <f t="shared" si="3"/>
        <v>0</v>
      </c>
      <c r="AJ62" s="626"/>
      <c r="AK62" s="626"/>
      <c r="AL62" s="527">
        <f>AJ62*AK62</f>
        <v>0</v>
      </c>
      <c r="AM62" s="527">
        <v>25000</v>
      </c>
      <c r="AN62" s="527">
        <f t="shared" si="6"/>
        <v>25000</v>
      </c>
      <c r="AO62" s="76"/>
      <c r="AP62" s="76"/>
      <c r="AQ62" s="76"/>
      <c r="AR62" s="76"/>
      <c r="AS62" s="76"/>
      <c r="AT62" s="619">
        <f t="shared" si="7"/>
        <v>25000</v>
      </c>
    </row>
    <row r="63" spans="1:46" ht="79.5" customHeight="1">
      <c r="A63" s="1021"/>
      <c r="B63" s="1000"/>
      <c r="C63" s="1021"/>
      <c r="D63" s="1092"/>
      <c r="E63" s="413" t="s">
        <v>95</v>
      </c>
      <c r="F63" s="136" t="s">
        <v>429</v>
      </c>
      <c r="G63" s="136" t="s">
        <v>430</v>
      </c>
      <c r="H63" s="136"/>
      <c r="I63" s="528"/>
      <c r="J63" s="621"/>
      <c r="K63" s="621"/>
      <c r="L63" s="618">
        <f t="shared" si="4"/>
        <v>0</v>
      </c>
      <c r="M63" s="537"/>
      <c r="N63" s="537"/>
      <c r="O63" s="622"/>
      <c r="P63" s="622"/>
      <c r="Q63" s="622"/>
      <c r="R63" s="622"/>
      <c r="S63" s="622"/>
      <c r="T63" s="622"/>
      <c r="U63" s="527">
        <f t="shared" si="0"/>
        <v>0</v>
      </c>
      <c r="V63" s="622">
        <f>19*2*20</f>
        <v>760</v>
      </c>
      <c r="W63" s="622">
        <v>250</v>
      </c>
      <c r="X63" s="527">
        <f t="shared" si="1"/>
        <v>190000</v>
      </c>
      <c r="Y63" s="622"/>
      <c r="Z63" s="622"/>
      <c r="AA63" s="527">
        <f t="shared" si="2"/>
        <v>0</v>
      </c>
      <c r="AB63" s="623"/>
      <c r="AC63" s="623"/>
      <c r="AD63" s="527">
        <f t="shared" si="5"/>
        <v>0</v>
      </c>
      <c r="AE63" s="624"/>
      <c r="AF63" s="624"/>
      <c r="AG63" s="552"/>
      <c r="AH63" s="552"/>
      <c r="AI63" s="527">
        <f t="shared" si="3"/>
        <v>0</v>
      </c>
      <c r="AJ63" s="626"/>
      <c r="AK63" s="626"/>
      <c r="AL63" s="527">
        <f>AJ63*AK63</f>
        <v>0</v>
      </c>
      <c r="AM63" s="625"/>
      <c r="AN63" s="527">
        <f t="shared" si="6"/>
        <v>190000</v>
      </c>
      <c r="AO63" s="76"/>
      <c r="AP63" s="76"/>
      <c r="AQ63" s="76"/>
      <c r="AR63" s="76"/>
      <c r="AS63" s="76"/>
      <c r="AT63" s="619">
        <f t="shared" si="7"/>
        <v>190000</v>
      </c>
    </row>
    <row r="64" spans="1:46" s="24" customFormat="1" ht="27.75" customHeight="1">
      <c r="A64" s="571"/>
      <c r="B64" s="631"/>
      <c r="C64" s="1093" t="s">
        <v>432</v>
      </c>
      <c r="D64" s="1093"/>
      <c r="E64" s="1093"/>
      <c r="F64" s="1093"/>
      <c r="G64" s="632"/>
      <c r="H64" s="632"/>
      <c r="I64" s="633">
        <f>SUM(I43:I63)</f>
        <v>0</v>
      </c>
      <c r="J64" s="633">
        <f>SUM(J43:J63)</f>
        <v>0</v>
      </c>
      <c r="K64" s="633">
        <f>SUM(K43:K63)</f>
        <v>0</v>
      </c>
      <c r="L64" s="633">
        <f>SUM(L43:L63)</f>
        <v>0</v>
      </c>
      <c r="M64" s="633"/>
      <c r="N64" s="633"/>
      <c r="O64" s="633"/>
      <c r="P64" s="633"/>
      <c r="Q64" s="633"/>
      <c r="R64" s="633"/>
      <c r="S64" s="633"/>
      <c r="T64" s="633"/>
      <c r="U64" s="633">
        <f>SUM(U43:U63)</f>
        <v>8610</v>
      </c>
      <c r="V64" s="633"/>
      <c r="W64" s="633"/>
      <c r="X64" s="633">
        <f>SUM(X43:X63)</f>
        <v>274700</v>
      </c>
      <c r="Y64" s="633"/>
      <c r="Z64" s="633"/>
      <c r="AA64" s="633">
        <f aca="true" t="shared" si="10" ref="AA64:AT64">SUM(AA43:AA63)</f>
        <v>343750</v>
      </c>
      <c r="AB64" s="633">
        <f t="shared" si="10"/>
        <v>0</v>
      </c>
      <c r="AC64" s="633">
        <f t="shared" si="10"/>
        <v>0</v>
      </c>
      <c r="AD64" s="633">
        <f t="shared" si="10"/>
        <v>0</v>
      </c>
      <c r="AE64" s="633">
        <f t="shared" si="10"/>
        <v>0</v>
      </c>
      <c r="AF64" s="633">
        <f t="shared" si="10"/>
        <v>0</v>
      </c>
      <c r="AG64" s="196">
        <f t="shared" si="10"/>
        <v>0</v>
      </c>
      <c r="AH64" s="196">
        <f t="shared" si="10"/>
        <v>0</v>
      </c>
      <c r="AI64" s="633">
        <f t="shared" si="10"/>
        <v>0</v>
      </c>
      <c r="AJ64" s="196">
        <f t="shared" si="10"/>
        <v>0</v>
      </c>
      <c r="AK64" s="196">
        <f t="shared" si="10"/>
        <v>0</v>
      </c>
      <c r="AL64" s="633">
        <f t="shared" si="10"/>
        <v>0</v>
      </c>
      <c r="AM64" s="633">
        <f t="shared" si="10"/>
        <v>90120</v>
      </c>
      <c r="AN64" s="633">
        <f t="shared" si="10"/>
        <v>717180</v>
      </c>
      <c r="AO64" s="633">
        <f t="shared" si="10"/>
        <v>7500</v>
      </c>
      <c r="AP64" s="633">
        <f t="shared" si="10"/>
        <v>0</v>
      </c>
      <c r="AQ64" s="633">
        <f t="shared" si="10"/>
        <v>0</v>
      </c>
      <c r="AR64" s="633">
        <f t="shared" si="10"/>
        <v>0</v>
      </c>
      <c r="AS64" s="633">
        <f t="shared" si="10"/>
        <v>0</v>
      </c>
      <c r="AT64" s="633">
        <f t="shared" si="10"/>
        <v>709680</v>
      </c>
    </row>
    <row r="65" spans="1:46" ht="36.75" customHeight="1">
      <c r="A65" s="1096" t="s">
        <v>1223</v>
      </c>
      <c r="B65" s="1097"/>
      <c r="C65" s="1097"/>
      <c r="D65" s="1097"/>
      <c r="E65" s="1097"/>
      <c r="F65" s="1097"/>
      <c r="G65" s="1097"/>
      <c r="H65" s="1097"/>
      <c r="I65" s="1097"/>
      <c r="J65" s="1097"/>
      <c r="K65" s="1097"/>
      <c r="L65" s="1097"/>
      <c r="M65" s="1097"/>
      <c r="N65" s="1097"/>
      <c r="O65" s="1097"/>
      <c r="P65" s="1097"/>
      <c r="Q65" s="1097"/>
      <c r="R65" s="1097"/>
      <c r="S65" s="1097"/>
      <c r="T65" s="1097"/>
      <c r="U65" s="1097"/>
      <c r="V65" s="1097"/>
      <c r="W65" s="1097"/>
      <c r="X65" s="1097"/>
      <c r="Y65" s="1097"/>
      <c r="Z65" s="1097"/>
      <c r="AA65" s="1097"/>
      <c r="AB65" s="1097"/>
      <c r="AC65" s="1097"/>
      <c r="AD65" s="1097"/>
      <c r="AE65" s="1097"/>
      <c r="AF65" s="1097"/>
      <c r="AG65" s="1097"/>
      <c r="AH65" s="1097"/>
      <c r="AI65" s="1097"/>
      <c r="AJ65" s="1097"/>
      <c r="AK65" s="1097"/>
      <c r="AL65" s="1097"/>
      <c r="AM65" s="1097"/>
      <c r="AN65" s="1097"/>
      <c r="AO65" s="1097"/>
      <c r="AP65" s="1097"/>
      <c r="AQ65" s="1097"/>
      <c r="AR65" s="1097"/>
      <c r="AS65" s="1097"/>
      <c r="AT65" s="1098"/>
    </row>
    <row r="66" spans="1:46" ht="60" customHeight="1">
      <c r="A66" s="1021">
        <v>5</v>
      </c>
      <c r="B66" s="1099"/>
      <c r="C66" s="1021">
        <v>3.1</v>
      </c>
      <c r="D66" s="1092" t="s">
        <v>1253</v>
      </c>
      <c r="E66" s="413" t="s">
        <v>941</v>
      </c>
      <c r="F66" s="136" t="s">
        <v>1249</v>
      </c>
      <c r="G66" s="136"/>
      <c r="H66" s="1021" t="s">
        <v>96</v>
      </c>
      <c r="I66" s="528"/>
      <c r="J66" s="529"/>
      <c r="K66" s="529"/>
      <c r="L66" s="618">
        <f aca="true" t="shared" si="11" ref="L66:L86">I66*J66*K66</f>
        <v>0</v>
      </c>
      <c r="M66" s="537"/>
      <c r="N66" s="537"/>
      <c r="O66" s="537"/>
      <c r="P66" s="537"/>
      <c r="Q66" s="537"/>
      <c r="R66" s="537"/>
      <c r="S66" s="537"/>
      <c r="T66" s="537"/>
      <c r="U66" s="527">
        <f t="shared" si="0"/>
        <v>0</v>
      </c>
      <c r="V66" s="530">
        <v>30</v>
      </c>
      <c r="W66" s="530">
        <v>350</v>
      </c>
      <c r="X66" s="527">
        <f t="shared" si="1"/>
        <v>10500</v>
      </c>
      <c r="Y66" s="530">
        <f>5+10+20+5</f>
        <v>40</v>
      </c>
      <c r="Z66" s="530">
        <v>1250</v>
      </c>
      <c r="AA66" s="527">
        <f t="shared" si="2"/>
        <v>50000</v>
      </c>
      <c r="AB66" s="531"/>
      <c r="AC66" s="531"/>
      <c r="AD66" s="527">
        <f t="shared" si="5"/>
        <v>0</v>
      </c>
      <c r="AE66" s="527"/>
      <c r="AF66" s="527"/>
      <c r="AG66" s="626"/>
      <c r="AH66" s="626"/>
      <c r="AI66" s="527">
        <f t="shared" si="3"/>
        <v>0</v>
      </c>
      <c r="AJ66" s="626"/>
      <c r="AK66" s="626"/>
      <c r="AL66" s="527">
        <f>AJ66*AK66</f>
        <v>0</v>
      </c>
      <c r="AM66" s="527">
        <v>2000</v>
      </c>
      <c r="AN66" s="527">
        <f t="shared" si="6"/>
        <v>62500</v>
      </c>
      <c r="AO66" s="76"/>
      <c r="AP66" s="76"/>
      <c r="AQ66" s="76"/>
      <c r="AR66" s="76"/>
      <c r="AS66" s="76"/>
      <c r="AT66" s="619">
        <f t="shared" si="7"/>
        <v>62500</v>
      </c>
    </row>
    <row r="67" spans="1:46" ht="73.5" customHeight="1">
      <c r="A67" s="1021"/>
      <c r="B67" s="1099"/>
      <c r="C67" s="1021"/>
      <c r="D67" s="1092"/>
      <c r="E67" s="413" t="s">
        <v>942</v>
      </c>
      <c r="F67" s="136" t="s">
        <v>1250</v>
      </c>
      <c r="G67" s="136"/>
      <c r="H67" s="1021"/>
      <c r="I67" s="528"/>
      <c r="J67" s="529"/>
      <c r="K67" s="529"/>
      <c r="L67" s="618">
        <f t="shared" si="11"/>
        <v>0</v>
      </c>
      <c r="M67" s="537"/>
      <c r="N67" s="537"/>
      <c r="O67" s="537"/>
      <c r="P67" s="537"/>
      <c r="Q67" s="537"/>
      <c r="R67" s="537"/>
      <c r="S67" s="537"/>
      <c r="T67" s="537"/>
      <c r="U67" s="527">
        <f t="shared" si="0"/>
        <v>0</v>
      </c>
      <c r="V67" s="530">
        <v>20</v>
      </c>
      <c r="W67" s="530">
        <v>350</v>
      </c>
      <c r="X67" s="527">
        <f t="shared" si="1"/>
        <v>7000</v>
      </c>
      <c r="Y67" s="530">
        <v>40</v>
      </c>
      <c r="Z67" s="530">
        <v>1250</v>
      </c>
      <c r="AA67" s="527">
        <f t="shared" si="2"/>
        <v>50000</v>
      </c>
      <c r="AB67" s="531"/>
      <c r="AC67" s="531"/>
      <c r="AD67" s="527">
        <f t="shared" si="5"/>
        <v>0</v>
      </c>
      <c r="AE67" s="527"/>
      <c r="AF67" s="527"/>
      <c r="AG67" s="626"/>
      <c r="AH67" s="626"/>
      <c r="AI67" s="527">
        <f t="shared" si="3"/>
        <v>0</v>
      </c>
      <c r="AJ67" s="626"/>
      <c r="AK67" s="626"/>
      <c r="AL67" s="527">
        <f>AJ67*AK67</f>
        <v>0</v>
      </c>
      <c r="AM67" s="527">
        <v>2000</v>
      </c>
      <c r="AN67" s="527">
        <f t="shared" si="6"/>
        <v>59000</v>
      </c>
      <c r="AO67" s="76"/>
      <c r="AP67" s="76"/>
      <c r="AQ67" s="76"/>
      <c r="AR67" s="76"/>
      <c r="AS67" s="76"/>
      <c r="AT67" s="619">
        <f t="shared" si="7"/>
        <v>59000</v>
      </c>
    </row>
    <row r="68" spans="1:46" ht="91.5" customHeight="1">
      <c r="A68" s="1021"/>
      <c r="B68" s="1099"/>
      <c r="C68" s="1021"/>
      <c r="D68" s="1092"/>
      <c r="E68" s="413" t="s">
        <v>943</v>
      </c>
      <c r="F68" s="538" t="s">
        <v>1251</v>
      </c>
      <c r="G68" s="136" t="s">
        <v>434</v>
      </c>
      <c r="H68" s="413"/>
      <c r="I68" s="528"/>
      <c r="J68" s="529"/>
      <c r="K68" s="529"/>
      <c r="L68" s="618">
        <f t="shared" si="11"/>
        <v>0</v>
      </c>
      <c r="M68" s="537"/>
      <c r="N68" s="537"/>
      <c r="O68" s="537"/>
      <c r="P68" s="537"/>
      <c r="Q68" s="537"/>
      <c r="R68" s="537"/>
      <c r="S68" s="537"/>
      <c r="T68" s="537"/>
      <c r="U68" s="527">
        <f t="shared" si="0"/>
        <v>0</v>
      </c>
      <c r="V68" s="530">
        <v>40</v>
      </c>
      <c r="W68" s="530">
        <v>350</v>
      </c>
      <c r="X68" s="527">
        <f t="shared" si="1"/>
        <v>14000</v>
      </c>
      <c r="Y68" s="530">
        <v>60</v>
      </c>
      <c r="Z68" s="530">
        <v>1250</v>
      </c>
      <c r="AA68" s="527">
        <f t="shared" si="2"/>
        <v>75000</v>
      </c>
      <c r="AB68" s="531"/>
      <c r="AC68" s="531"/>
      <c r="AD68" s="527">
        <f t="shared" si="5"/>
        <v>0</v>
      </c>
      <c r="AE68" s="527"/>
      <c r="AF68" s="527"/>
      <c r="AG68" s="626"/>
      <c r="AH68" s="626"/>
      <c r="AI68" s="527">
        <f t="shared" si="3"/>
        <v>0</v>
      </c>
      <c r="AJ68" s="626"/>
      <c r="AK68" s="626"/>
      <c r="AL68" s="527"/>
      <c r="AM68" s="527">
        <v>2000</v>
      </c>
      <c r="AN68" s="527">
        <f t="shared" si="6"/>
        <v>91000</v>
      </c>
      <c r="AO68" s="76"/>
      <c r="AP68" s="76"/>
      <c r="AQ68" s="76"/>
      <c r="AR68" s="76"/>
      <c r="AS68" s="76"/>
      <c r="AT68" s="619">
        <f t="shared" si="7"/>
        <v>91000</v>
      </c>
    </row>
    <row r="69" spans="1:46" ht="24" customHeight="1">
      <c r="A69" s="1021"/>
      <c r="B69" s="1099"/>
      <c r="C69" s="1021"/>
      <c r="D69" s="1092"/>
      <c r="E69" s="413" t="s">
        <v>944</v>
      </c>
      <c r="F69" s="538" t="s">
        <v>1252</v>
      </c>
      <c r="G69" s="136" t="s">
        <v>435</v>
      </c>
      <c r="H69" s="413"/>
      <c r="I69" s="528"/>
      <c r="J69" s="529"/>
      <c r="K69" s="529"/>
      <c r="L69" s="618">
        <f t="shared" si="11"/>
        <v>0</v>
      </c>
      <c r="M69" s="537"/>
      <c r="N69" s="537"/>
      <c r="O69" s="537"/>
      <c r="P69" s="537"/>
      <c r="Q69" s="537"/>
      <c r="R69" s="537"/>
      <c r="S69" s="537"/>
      <c r="T69" s="537"/>
      <c r="U69" s="527">
        <f t="shared" si="0"/>
        <v>0</v>
      </c>
      <c r="V69" s="530">
        <v>10</v>
      </c>
      <c r="W69" s="530">
        <v>350</v>
      </c>
      <c r="X69" s="527">
        <f t="shared" si="1"/>
        <v>3500</v>
      </c>
      <c r="Y69" s="530">
        <v>30</v>
      </c>
      <c r="Z69" s="530">
        <v>1250</v>
      </c>
      <c r="AA69" s="527">
        <f t="shared" si="2"/>
        <v>37500</v>
      </c>
      <c r="AB69" s="531"/>
      <c r="AC69" s="531"/>
      <c r="AD69" s="527">
        <f t="shared" si="5"/>
        <v>0</v>
      </c>
      <c r="AE69" s="527"/>
      <c r="AF69" s="527"/>
      <c r="AG69" s="626"/>
      <c r="AH69" s="626"/>
      <c r="AI69" s="527">
        <f t="shared" si="3"/>
        <v>0</v>
      </c>
      <c r="AJ69" s="626"/>
      <c r="AK69" s="626"/>
      <c r="AL69" s="527"/>
      <c r="AM69" s="527">
        <v>1000</v>
      </c>
      <c r="AN69" s="527">
        <f t="shared" si="6"/>
        <v>42000</v>
      </c>
      <c r="AO69" s="76"/>
      <c r="AP69" s="76"/>
      <c r="AQ69" s="76"/>
      <c r="AR69" s="76"/>
      <c r="AS69" s="76"/>
      <c r="AT69" s="619">
        <f t="shared" si="7"/>
        <v>42000</v>
      </c>
    </row>
    <row r="70" spans="1:46" ht="117" customHeight="1">
      <c r="A70" s="1021"/>
      <c r="B70" s="1099"/>
      <c r="C70" s="1021"/>
      <c r="D70" s="1092"/>
      <c r="E70" s="413" t="s">
        <v>945</v>
      </c>
      <c r="F70" s="538" t="s">
        <v>1254</v>
      </c>
      <c r="G70" s="136" t="s">
        <v>436</v>
      </c>
      <c r="H70" s="413"/>
      <c r="I70" s="528"/>
      <c r="J70" s="529"/>
      <c r="K70" s="529"/>
      <c r="L70" s="618">
        <f t="shared" si="11"/>
        <v>0</v>
      </c>
      <c r="M70" s="537"/>
      <c r="N70" s="537"/>
      <c r="O70" s="537"/>
      <c r="P70" s="537"/>
      <c r="Q70" s="537"/>
      <c r="R70" s="537"/>
      <c r="S70" s="537"/>
      <c r="T70" s="537"/>
      <c r="U70" s="527">
        <f t="shared" si="0"/>
        <v>0</v>
      </c>
      <c r="V70" s="530">
        <v>40</v>
      </c>
      <c r="W70" s="530">
        <v>350</v>
      </c>
      <c r="X70" s="527">
        <f t="shared" si="1"/>
        <v>14000</v>
      </c>
      <c r="Y70" s="530">
        <v>45</v>
      </c>
      <c r="Z70" s="530">
        <v>1250</v>
      </c>
      <c r="AA70" s="527">
        <f t="shared" si="2"/>
        <v>56250</v>
      </c>
      <c r="AB70" s="531"/>
      <c r="AC70" s="531"/>
      <c r="AD70" s="527">
        <f t="shared" si="5"/>
        <v>0</v>
      </c>
      <c r="AE70" s="527"/>
      <c r="AF70" s="527"/>
      <c r="AG70" s="626"/>
      <c r="AH70" s="626"/>
      <c r="AI70" s="527">
        <f t="shared" si="3"/>
        <v>0</v>
      </c>
      <c r="AJ70" s="626"/>
      <c r="AK70" s="626"/>
      <c r="AL70" s="527"/>
      <c r="AM70" s="527">
        <v>2000</v>
      </c>
      <c r="AN70" s="527">
        <f t="shared" si="6"/>
        <v>72250</v>
      </c>
      <c r="AO70" s="76"/>
      <c r="AP70" s="76"/>
      <c r="AQ70" s="76"/>
      <c r="AR70" s="76"/>
      <c r="AS70" s="76"/>
      <c r="AT70" s="619">
        <f t="shared" si="7"/>
        <v>72250</v>
      </c>
    </row>
    <row r="71" spans="1:46" ht="49.5" customHeight="1">
      <c r="A71" s="1021"/>
      <c r="B71" s="1099"/>
      <c r="C71" s="1021"/>
      <c r="D71" s="1092"/>
      <c r="E71" s="413" t="s">
        <v>946</v>
      </c>
      <c r="F71" s="624" t="s">
        <v>1255</v>
      </c>
      <c r="G71" s="136" t="s">
        <v>437</v>
      </c>
      <c r="H71" s="413"/>
      <c r="I71" s="528"/>
      <c r="J71" s="529"/>
      <c r="K71" s="529"/>
      <c r="L71" s="618">
        <f t="shared" si="11"/>
        <v>0</v>
      </c>
      <c r="M71" s="537"/>
      <c r="N71" s="537"/>
      <c r="O71" s="537"/>
      <c r="P71" s="537"/>
      <c r="Q71" s="537"/>
      <c r="R71" s="537"/>
      <c r="S71" s="537"/>
      <c r="T71" s="537"/>
      <c r="U71" s="527">
        <f t="shared" si="0"/>
        <v>0</v>
      </c>
      <c r="V71" s="530"/>
      <c r="W71" s="530"/>
      <c r="X71" s="527">
        <f t="shared" si="1"/>
        <v>0</v>
      </c>
      <c r="Y71" s="530"/>
      <c r="Z71" s="530"/>
      <c r="AA71" s="527">
        <f t="shared" si="2"/>
        <v>0</v>
      </c>
      <c r="AB71" s="531"/>
      <c r="AC71" s="531"/>
      <c r="AD71" s="527">
        <f t="shared" si="5"/>
        <v>0</v>
      </c>
      <c r="AE71" s="527"/>
      <c r="AF71" s="527"/>
      <c r="AG71" s="626"/>
      <c r="AH71" s="626"/>
      <c r="AI71" s="527">
        <f aca="true" t="shared" si="12" ref="AI71:AI86">AG71*AH71</f>
        <v>0</v>
      </c>
      <c r="AJ71" s="626"/>
      <c r="AK71" s="626"/>
      <c r="AL71" s="527"/>
      <c r="AM71" s="527"/>
      <c r="AN71" s="527">
        <f t="shared" si="6"/>
        <v>0</v>
      </c>
      <c r="AO71" s="76"/>
      <c r="AP71" s="76"/>
      <c r="AQ71" s="76"/>
      <c r="AR71" s="76"/>
      <c r="AS71" s="76"/>
      <c r="AT71" s="619">
        <f t="shared" si="7"/>
        <v>0</v>
      </c>
    </row>
    <row r="72" spans="1:46" ht="49.5" customHeight="1">
      <c r="A72" s="1021"/>
      <c r="B72" s="1099"/>
      <c r="C72" s="1021"/>
      <c r="D72" s="1021" t="s">
        <v>1257</v>
      </c>
      <c r="E72" s="413" t="s">
        <v>214</v>
      </c>
      <c r="F72" s="136" t="s">
        <v>433</v>
      </c>
      <c r="G72" s="136" t="s">
        <v>947</v>
      </c>
      <c r="H72" s="136"/>
      <c r="I72" s="528"/>
      <c r="J72" s="529"/>
      <c r="K72" s="529"/>
      <c r="L72" s="618">
        <f t="shared" si="11"/>
        <v>0</v>
      </c>
      <c r="M72" s="537"/>
      <c r="N72" s="537"/>
      <c r="O72" s="537"/>
      <c r="P72" s="537"/>
      <c r="Q72" s="537"/>
      <c r="R72" s="537"/>
      <c r="S72" s="537"/>
      <c r="T72" s="537"/>
      <c r="U72" s="527">
        <f t="shared" si="0"/>
        <v>0</v>
      </c>
      <c r="V72" s="530"/>
      <c r="W72" s="530"/>
      <c r="X72" s="527">
        <f aca="true" t="shared" si="13" ref="X72:X86">V72*W72</f>
        <v>0</v>
      </c>
      <c r="Y72" s="530"/>
      <c r="Z72" s="530"/>
      <c r="AA72" s="527">
        <f aca="true" t="shared" si="14" ref="AA72:AA86">Y72*Z72</f>
        <v>0</v>
      </c>
      <c r="AB72" s="531">
        <f>30*200*3</f>
        <v>18000</v>
      </c>
      <c r="AC72" s="531">
        <v>8</v>
      </c>
      <c r="AD72" s="527">
        <f aca="true" t="shared" si="15" ref="AD72:AD86">AB72*AC72</f>
        <v>144000</v>
      </c>
      <c r="AE72" s="527"/>
      <c r="AF72" s="527"/>
      <c r="AG72" s="626"/>
      <c r="AH72" s="626"/>
      <c r="AI72" s="527">
        <f t="shared" si="12"/>
        <v>0</v>
      </c>
      <c r="AJ72" s="626"/>
      <c r="AK72" s="626"/>
      <c r="AL72" s="527"/>
      <c r="AM72" s="527"/>
      <c r="AN72" s="527">
        <f aca="true" t="shared" si="16" ref="AN72:AN86">L72+U72+X72+AA72+AD72+AI72+AL72+AM72+AE72+AF72</f>
        <v>144000</v>
      </c>
      <c r="AO72" s="76"/>
      <c r="AP72" s="76"/>
      <c r="AQ72" s="76"/>
      <c r="AR72" s="76"/>
      <c r="AS72" s="76"/>
      <c r="AT72" s="619">
        <f t="shared" si="7"/>
        <v>144000</v>
      </c>
    </row>
    <row r="73" spans="1:46" ht="42.75" customHeight="1">
      <c r="A73" s="1021"/>
      <c r="B73" s="1099"/>
      <c r="C73" s="1021"/>
      <c r="D73" s="1021"/>
      <c r="E73" s="413" t="s">
        <v>215</v>
      </c>
      <c r="F73" s="538" t="s">
        <v>1256</v>
      </c>
      <c r="G73" s="538"/>
      <c r="H73" s="136"/>
      <c r="I73" s="528"/>
      <c r="J73" s="529"/>
      <c r="K73" s="529"/>
      <c r="L73" s="618">
        <f t="shared" si="11"/>
        <v>0</v>
      </c>
      <c r="M73" s="537"/>
      <c r="N73" s="537"/>
      <c r="O73" s="537"/>
      <c r="P73" s="537"/>
      <c r="Q73" s="537"/>
      <c r="R73" s="537"/>
      <c r="S73" s="537"/>
      <c r="T73" s="537"/>
      <c r="U73" s="527">
        <f t="shared" si="0"/>
        <v>0</v>
      </c>
      <c r="V73" s="530">
        <v>20</v>
      </c>
      <c r="W73" s="530">
        <v>350</v>
      </c>
      <c r="X73" s="527">
        <f t="shared" si="13"/>
        <v>7000</v>
      </c>
      <c r="Y73" s="530">
        <v>50</v>
      </c>
      <c r="Z73" s="530">
        <v>1250</v>
      </c>
      <c r="AA73" s="527">
        <f t="shared" si="14"/>
        <v>62500</v>
      </c>
      <c r="AB73" s="531"/>
      <c r="AC73" s="531"/>
      <c r="AD73" s="527">
        <f t="shared" si="15"/>
        <v>0</v>
      </c>
      <c r="AE73" s="527"/>
      <c r="AF73" s="527"/>
      <c r="AG73" s="626"/>
      <c r="AH73" s="626"/>
      <c r="AI73" s="527">
        <f t="shared" si="12"/>
        <v>0</v>
      </c>
      <c r="AJ73" s="626"/>
      <c r="AK73" s="626"/>
      <c r="AL73" s="527"/>
      <c r="AM73" s="527"/>
      <c r="AN73" s="527">
        <f t="shared" si="16"/>
        <v>69500</v>
      </c>
      <c r="AO73" s="76"/>
      <c r="AP73" s="76"/>
      <c r="AQ73" s="76"/>
      <c r="AR73" s="76"/>
      <c r="AS73" s="76"/>
      <c r="AT73" s="619">
        <f t="shared" si="7"/>
        <v>69500</v>
      </c>
    </row>
    <row r="74" spans="1:46" ht="42.75" customHeight="1">
      <c r="A74" s="1021"/>
      <c r="B74" s="1099"/>
      <c r="C74" s="1021"/>
      <c r="D74" s="1021"/>
      <c r="E74" s="413" t="s">
        <v>216</v>
      </c>
      <c r="F74" s="538" t="s">
        <v>1258</v>
      </c>
      <c r="G74" s="538" t="s">
        <v>948</v>
      </c>
      <c r="H74" s="136"/>
      <c r="I74" s="528"/>
      <c r="J74" s="529"/>
      <c r="K74" s="529"/>
      <c r="L74" s="618">
        <f t="shared" si="11"/>
        <v>0</v>
      </c>
      <c r="M74" s="537"/>
      <c r="N74" s="537"/>
      <c r="O74" s="537"/>
      <c r="P74" s="537"/>
      <c r="Q74" s="537"/>
      <c r="R74" s="537"/>
      <c r="S74" s="537"/>
      <c r="T74" s="537"/>
      <c r="U74" s="527">
        <f t="shared" si="0"/>
        <v>0</v>
      </c>
      <c r="V74" s="530"/>
      <c r="W74" s="530"/>
      <c r="X74" s="527">
        <f t="shared" si="13"/>
        <v>0</v>
      </c>
      <c r="Y74" s="530"/>
      <c r="Z74" s="530"/>
      <c r="AA74" s="527">
        <f t="shared" si="14"/>
        <v>0</v>
      </c>
      <c r="AB74" s="531"/>
      <c r="AC74" s="531"/>
      <c r="AD74" s="527">
        <f t="shared" si="15"/>
        <v>0</v>
      </c>
      <c r="AE74" s="527"/>
      <c r="AF74" s="527"/>
      <c r="AG74" s="626"/>
      <c r="AH74" s="626"/>
      <c r="AI74" s="527">
        <f t="shared" si="12"/>
        <v>0</v>
      </c>
      <c r="AJ74" s="626"/>
      <c r="AK74" s="626"/>
      <c r="AL74" s="527"/>
      <c r="AM74" s="527"/>
      <c r="AN74" s="527">
        <f t="shared" si="16"/>
        <v>0</v>
      </c>
      <c r="AO74" s="76"/>
      <c r="AP74" s="76"/>
      <c r="AQ74" s="76"/>
      <c r="AR74" s="76"/>
      <c r="AS74" s="76"/>
      <c r="AT74" s="619">
        <f t="shared" si="7"/>
        <v>0</v>
      </c>
    </row>
    <row r="75" spans="1:46" ht="42.75" customHeight="1">
      <c r="A75" s="1021"/>
      <c r="B75" s="1099"/>
      <c r="C75" s="1021"/>
      <c r="D75" s="1021"/>
      <c r="E75" s="413" t="s">
        <v>217</v>
      </c>
      <c r="F75" s="538" t="s">
        <v>1259</v>
      </c>
      <c r="G75" s="538" t="s">
        <v>438</v>
      </c>
      <c r="H75" s="136"/>
      <c r="I75" s="528"/>
      <c r="J75" s="529"/>
      <c r="K75" s="529"/>
      <c r="L75" s="618">
        <f t="shared" si="11"/>
        <v>0</v>
      </c>
      <c r="M75" s="537"/>
      <c r="N75" s="537"/>
      <c r="O75" s="537"/>
      <c r="P75" s="537"/>
      <c r="Q75" s="537"/>
      <c r="R75" s="537"/>
      <c r="S75" s="537"/>
      <c r="T75" s="537"/>
      <c r="U75" s="527">
        <f t="shared" si="0"/>
        <v>0</v>
      </c>
      <c r="V75" s="530"/>
      <c r="W75" s="530"/>
      <c r="X75" s="527">
        <f t="shared" si="13"/>
        <v>0</v>
      </c>
      <c r="Y75" s="530"/>
      <c r="Z75" s="530"/>
      <c r="AA75" s="527">
        <f t="shared" si="14"/>
        <v>0</v>
      </c>
      <c r="AB75" s="531"/>
      <c r="AC75" s="531"/>
      <c r="AD75" s="527">
        <f t="shared" si="15"/>
        <v>0</v>
      </c>
      <c r="AE75" s="527"/>
      <c r="AF75" s="527"/>
      <c r="AG75" s="626"/>
      <c r="AH75" s="626"/>
      <c r="AI75" s="527">
        <f t="shared" si="12"/>
        <v>0</v>
      </c>
      <c r="AJ75" s="626"/>
      <c r="AK75" s="626"/>
      <c r="AL75" s="527"/>
      <c r="AM75" s="527"/>
      <c r="AN75" s="527">
        <f t="shared" si="16"/>
        <v>0</v>
      </c>
      <c r="AO75" s="76"/>
      <c r="AP75" s="76"/>
      <c r="AQ75" s="76"/>
      <c r="AR75" s="76"/>
      <c r="AS75" s="76"/>
      <c r="AT75" s="619">
        <f t="shared" si="7"/>
        <v>0</v>
      </c>
    </row>
    <row r="76" spans="1:46" ht="45.75" customHeight="1">
      <c r="A76" s="1021"/>
      <c r="B76" s="1099"/>
      <c r="C76" s="1021">
        <v>3.2</v>
      </c>
      <c r="D76" s="1094" t="s">
        <v>1261</v>
      </c>
      <c r="E76" s="413" t="s">
        <v>949</v>
      </c>
      <c r="F76" s="136" t="s">
        <v>1260</v>
      </c>
      <c r="G76" s="136"/>
      <c r="H76" s="136" t="s">
        <v>101</v>
      </c>
      <c r="I76" s="528"/>
      <c r="J76" s="529"/>
      <c r="K76" s="529"/>
      <c r="L76" s="618">
        <f t="shared" si="11"/>
        <v>0</v>
      </c>
      <c r="M76" s="537"/>
      <c r="N76" s="537"/>
      <c r="O76" s="537"/>
      <c r="P76" s="537"/>
      <c r="Q76" s="537"/>
      <c r="R76" s="537"/>
      <c r="S76" s="537"/>
      <c r="T76" s="537"/>
      <c r="U76" s="527">
        <f t="shared" si="0"/>
        <v>0</v>
      </c>
      <c r="V76" s="530">
        <v>30</v>
      </c>
      <c r="W76" s="530">
        <v>350</v>
      </c>
      <c r="X76" s="527">
        <f t="shared" si="13"/>
        <v>10500</v>
      </c>
      <c r="Y76" s="530">
        <v>40</v>
      </c>
      <c r="Z76" s="530">
        <v>1250</v>
      </c>
      <c r="AA76" s="527">
        <f t="shared" si="14"/>
        <v>50000</v>
      </c>
      <c r="AB76" s="531"/>
      <c r="AC76" s="531"/>
      <c r="AD76" s="527">
        <f t="shared" si="15"/>
        <v>0</v>
      </c>
      <c r="AE76" s="527"/>
      <c r="AF76" s="527"/>
      <c r="AG76" s="626"/>
      <c r="AH76" s="626"/>
      <c r="AI76" s="527">
        <f t="shared" si="12"/>
        <v>0</v>
      </c>
      <c r="AJ76" s="626"/>
      <c r="AK76" s="626"/>
      <c r="AL76" s="527">
        <f>AJ76*AK76</f>
        <v>0</v>
      </c>
      <c r="AM76" s="527">
        <v>1000</v>
      </c>
      <c r="AN76" s="527">
        <f t="shared" si="16"/>
        <v>61500</v>
      </c>
      <c r="AO76" s="76"/>
      <c r="AP76" s="76"/>
      <c r="AQ76" s="76"/>
      <c r="AR76" s="76">
        <f>AN76</f>
        <v>61500</v>
      </c>
      <c r="AS76" s="76"/>
      <c r="AT76" s="619">
        <f t="shared" si="7"/>
        <v>0</v>
      </c>
    </row>
    <row r="77" spans="1:46" ht="48.75" customHeight="1">
      <c r="A77" s="1021"/>
      <c r="B77" s="1099"/>
      <c r="C77" s="1021"/>
      <c r="D77" s="1002"/>
      <c r="E77" s="413" t="s">
        <v>950</v>
      </c>
      <c r="F77" s="136" t="s">
        <v>1201</v>
      </c>
      <c r="G77" s="136"/>
      <c r="H77" s="136" t="s">
        <v>102</v>
      </c>
      <c r="I77" s="528"/>
      <c r="J77" s="529"/>
      <c r="K77" s="529"/>
      <c r="L77" s="618">
        <f t="shared" si="11"/>
        <v>0</v>
      </c>
      <c r="M77" s="537">
        <v>1</v>
      </c>
      <c r="N77" s="537">
        <v>2</v>
      </c>
      <c r="O77" s="537">
        <v>10</v>
      </c>
      <c r="P77" s="537">
        <v>350</v>
      </c>
      <c r="Q77" s="537">
        <v>25</v>
      </c>
      <c r="R77" s="537">
        <v>50</v>
      </c>
      <c r="S77" s="537">
        <v>20</v>
      </c>
      <c r="T77" s="537"/>
      <c r="U77" s="527">
        <f t="shared" si="0"/>
        <v>2400</v>
      </c>
      <c r="V77" s="530">
        <v>5</v>
      </c>
      <c r="W77" s="530">
        <v>350</v>
      </c>
      <c r="X77" s="527">
        <f t="shared" si="13"/>
        <v>1750</v>
      </c>
      <c r="Y77" s="530">
        <v>5</v>
      </c>
      <c r="Z77" s="530">
        <v>1250</v>
      </c>
      <c r="AA77" s="527">
        <f t="shared" si="14"/>
        <v>6250</v>
      </c>
      <c r="AB77" s="531"/>
      <c r="AC77" s="531"/>
      <c r="AD77" s="527">
        <f t="shared" si="15"/>
        <v>0</v>
      </c>
      <c r="AE77" s="527"/>
      <c r="AF77" s="527"/>
      <c r="AG77" s="626"/>
      <c r="AH77" s="626"/>
      <c r="AI77" s="527">
        <f t="shared" si="12"/>
        <v>0</v>
      </c>
      <c r="AJ77" s="626"/>
      <c r="AK77" s="626"/>
      <c r="AL77" s="527"/>
      <c r="AM77" s="527">
        <v>1000</v>
      </c>
      <c r="AN77" s="527">
        <f t="shared" si="16"/>
        <v>11400</v>
      </c>
      <c r="AO77" s="76"/>
      <c r="AP77" s="76"/>
      <c r="AQ77" s="76"/>
      <c r="AR77" s="76">
        <f>AN77</f>
        <v>11400</v>
      </c>
      <c r="AS77" s="76"/>
      <c r="AT77" s="619">
        <f t="shared" si="7"/>
        <v>0</v>
      </c>
    </row>
    <row r="78" spans="1:46" ht="33" customHeight="1">
      <c r="A78" s="1021"/>
      <c r="B78" s="1099"/>
      <c r="C78" s="1021"/>
      <c r="D78" s="1002"/>
      <c r="E78" s="413" t="s">
        <v>951</v>
      </c>
      <c r="F78" s="136" t="s">
        <v>1202</v>
      </c>
      <c r="G78" s="136"/>
      <c r="H78" s="136" t="s">
        <v>103</v>
      </c>
      <c r="I78" s="528"/>
      <c r="J78" s="529"/>
      <c r="K78" s="529"/>
      <c r="L78" s="618">
        <f t="shared" si="11"/>
        <v>0</v>
      </c>
      <c r="M78" s="537">
        <f>20*3</f>
        <v>60</v>
      </c>
      <c r="N78" s="537">
        <v>2</v>
      </c>
      <c r="O78" s="537">
        <v>20</v>
      </c>
      <c r="P78" s="537"/>
      <c r="Q78" s="537">
        <v>25</v>
      </c>
      <c r="R78" s="537"/>
      <c r="S78" s="537">
        <v>20</v>
      </c>
      <c r="T78" s="537">
        <v>65</v>
      </c>
      <c r="U78" s="527">
        <f t="shared" si="0"/>
        <v>91800</v>
      </c>
      <c r="V78" s="530"/>
      <c r="W78" s="530"/>
      <c r="X78" s="527">
        <f t="shared" si="13"/>
        <v>0</v>
      </c>
      <c r="Y78" s="530"/>
      <c r="Z78" s="530"/>
      <c r="AA78" s="527">
        <f t="shared" si="14"/>
        <v>0</v>
      </c>
      <c r="AB78" s="531"/>
      <c r="AC78" s="531"/>
      <c r="AD78" s="527">
        <f t="shared" si="15"/>
        <v>0</v>
      </c>
      <c r="AE78" s="527"/>
      <c r="AF78" s="527"/>
      <c r="AG78" s="626"/>
      <c r="AH78" s="626"/>
      <c r="AI78" s="527">
        <f t="shared" si="12"/>
        <v>0</v>
      </c>
      <c r="AJ78" s="626"/>
      <c r="AK78" s="626"/>
      <c r="AL78" s="527"/>
      <c r="AM78" s="527">
        <v>1000</v>
      </c>
      <c r="AN78" s="527">
        <f t="shared" si="16"/>
        <v>92800</v>
      </c>
      <c r="AO78" s="76"/>
      <c r="AP78" s="76"/>
      <c r="AQ78" s="76"/>
      <c r="AR78" s="76"/>
      <c r="AS78" s="76"/>
      <c r="AT78" s="619">
        <f t="shared" si="7"/>
        <v>92800</v>
      </c>
    </row>
    <row r="79" spans="1:46" ht="34.5" customHeight="1">
      <c r="A79" s="1021"/>
      <c r="B79" s="1099"/>
      <c r="C79" s="1021"/>
      <c r="D79" s="1002"/>
      <c r="E79" s="413" t="s">
        <v>952</v>
      </c>
      <c r="F79" s="552" t="s">
        <v>1262</v>
      </c>
      <c r="G79" s="794" t="s">
        <v>441</v>
      </c>
      <c r="H79" s="136"/>
      <c r="I79" s="528"/>
      <c r="J79" s="529"/>
      <c r="K79" s="529"/>
      <c r="L79" s="618">
        <f t="shared" si="11"/>
        <v>0</v>
      </c>
      <c r="M79" s="537">
        <v>1</v>
      </c>
      <c r="N79" s="537">
        <v>2</v>
      </c>
      <c r="O79" s="537">
        <v>4</v>
      </c>
      <c r="P79" s="537"/>
      <c r="Q79" s="537">
        <v>25</v>
      </c>
      <c r="R79" s="537"/>
      <c r="S79" s="537">
        <v>20</v>
      </c>
      <c r="T79" s="537"/>
      <c r="U79" s="527">
        <f t="shared" si="0"/>
        <v>280</v>
      </c>
      <c r="V79" s="530"/>
      <c r="W79" s="530"/>
      <c r="X79" s="527">
        <f t="shared" si="13"/>
        <v>0</v>
      </c>
      <c r="Y79" s="530">
        <v>50</v>
      </c>
      <c r="Z79" s="530">
        <v>1250</v>
      </c>
      <c r="AA79" s="527">
        <f t="shared" si="14"/>
        <v>62500</v>
      </c>
      <c r="AB79" s="531">
        <v>200</v>
      </c>
      <c r="AC79" s="531">
        <v>10</v>
      </c>
      <c r="AD79" s="527">
        <f t="shared" si="15"/>
        <v>2000</v>
      </c>
      <c r="AE79" s="527"/>
      <c r="AF79" s="527"/>
      <c r="AG79" s="626"/>
      <c r="AH79" s="626"/>
      <c r="AI79" s="527">
        <f t="shared" si="12"/>
        <v>0</v>
      </c>
      <c r="AJ79" s="626"/>
      <c r="AK79" s="626"/>
      <c r="AL79" s="527"/>
      <c r="AM79" s="527"/>
      <c r="AN79" s="527">
        <f t="shared" si="16"/>
        <v>64780</v>
      </c>
      <c r="AO79" s="76"/>
      <c r="AP79" s="76"/>
      <c r="AQ79" s="76"/>
      <c r="AR79" s="76"/>
      <c r="AS79" s="76"/>
      <c r="AT79" s="619">
        <f t="shared" si="7"/>
        <v>64780</v>
      </c>
    </row>
    <row r="80" spans="1:46" ht="30" customHeight="1">
      <c r="A80" s="1021"/>
      <c r="B80" s="1099"/>
      <c r="C80" s="1021"/>
      <c r="D80" s="1095"/>
      <c r="E80" s="413" t="s">
        <v>100</v>
      </c>
      <c r="F80" s="552" t="s">
        <v>1263</v>
      </c>
      <c r="G80" s="794" t="s">
        <v>953</v>
      </c>
      <c r="H80" s="136"/>
      <c r="I80" s="528"/>
      <c r="J80" s="529"/>
      <c r="K80" s="529"/>
      <c r="L80" s="618">
        <f t="shared" si="11"/>
        <v>0</v>
      </c>
      <c r="M80" s="537"/>
      <c r="N80" s="537"/>
      <c r="O80" s="537"/>
      <c r="P80" s="537"/>
      <c r="Q80" s="537"/>
      <c r="R80" s="537"/>
      <c r="S80" s="537"/>
      <c r="T80" s="537"/>
      <c r="U80" s="527">
        <f t="shared" si="0"/>
        <v>0</v>
      </c>
      <c r="V80" s="530"/>
      <c r="W80" s="530"/>
      <c r="X80" s="527">
        <f t="shared" si="13"/>
        <v>0</v>
      </c>
      <c r="Y80" s="530">
        <v>60</v>
      </c>
      <c r="Z80" s="530">
        <v>1250</v>
      </c>
      <c r="AA80" s="527">
        <f t="shared" si="14"/>
        <v>75000</v>
      </c>
      <c r="AB80" s="531">
        <v>500</v>
      </c>
      <c r="AC80" s="531">
        <v>10</v>
      </c>
      <c r="AD80" s="527">
        <f t="shared" si="15"/>
        <v>5000</v>
      </c>
      <c r="AE80" s="527"/>
      <c r="AF80" s="527"/>
      <c r="AG80" s="626"/>
      <c r="AH80" s="626"/>
      <c r="AI80" s="527">
        <f t="shared" si="12"/>
        <v>0</v>
      </c>
      <c r="AJ80" s="626"/>
      <c r="AK80" s="626"/>
      <c r="AL80" s="527">
        <f>AJ80*AK80</f>
        <v>0</v>
      </c>
      <c r="AM80" s="527"/>
      <c r="AN80" s="527">
        <f t="shared" si="16"/>
        <v>80000</v>
      </c>
      <c r="AO80" s="76"/>
      <c r="AP80" s="76"/>
      <c r="AQ80" s="76"/>
      <c r="AR80" s="76"/>
      <c r="AS80" s="76"/>
      <c r="AT80" s="619">
        <f t="shared" si="7"/>
        <v>80000</v>
      </c>
    </row>
    <row r="81" spans="1:46" ht="42.75" customHeight="1">
      <c r="A81" s="1021"/>
      <c r="B81" s="1099"/>
      <c r="C81" s="1021">
        <v>3.4</v>
      </c>
      <c r="D81" s="1094" t="s">
        <v>1267</v>
      </c>
      <c r="E81" s="634" t="s">
        <v>954</v>
      </c>
      <c r="F81" s="553" t="s">
        <v>1264</v>
      </c>
      <c r="G81" s="136" t="s">
        <v>955</v>
      </c>
      <c r="H81" s="136"/>
      <c r="I81" s="529"/>
      <c r="J81" s="529"/>
      <c r="K81" s="529"/>
      <c r="L81" s="618">
        <f t="shared" si="11"/>
        <v>0</v>
      </c>
      <c r="M81" s="537"/>
      <c r="N81" s="537"/>
      <c r="O81" s="537"/>
      <c r="P81" s="537"/>
      <c r="Q81" s="537"/>
      <c r="R81" s="537"/>
      <c r="S81" s="537"/>
      <c r="T81" s="537"/>
      <c r="U81" s="527">
        <f t="shared" si="0"/>
        <v>0</v>
      </c>
      <c r="V81" s="530"/>
      <c r="W81" s="530"/>
      <c r="X81" s="527"/>
      <c r="Y81" s="530"/>
      <c r="Z81" s="530"/>
      <c r="AA81" s="527">
        <f t="shared" si="14"/>
        <v>0</v>
      </c>
      <c r="AB81" s="531"/>
      <c r="AC81" s="531"/>
      <c r="AD81" s="527">
        <f t="shared" si="15"/>
        <v>0</v>
      </c>
      <c r="AE81" s="527"/>
      <c r="AF81" s="527"/>
      <c r="AG81" s="626"/>
      <c r="AH81" s="626"/>
      <c r="AI81" s="527">
        <f t="shared" si="12"/>
        <v>0</v>
      </c>
      <c r="AJ81" s="626"/>
      <c r="AK81" s="626"/>
      <c r="AL81" s="527">
        <f>AJ81*AK81</f>
        <v>0</v>
      </c>
      <c r="AM81" s="527">
        <f>1800000/140</f>
        <v>12857.142857142857</v>
      </c>
      <c r="AN81" s="527">
        <f t="shared" si="16"/>
        <v>12857.142857142857</v>
      </c>
      <c r="AO81" s="76">
        <f>AN81</f>
        <v>12857.142857142857</v>
      </c>
      <c r="AP81" s="76"/>
      <c r="AQ81" s="76"/>
      <c r="AR81" s="76"/>
      <c r="AS81" s="76"/>
      <c r="AT81" s="619">
        <f t="shared" si="7"/>
        <v>0</v>
      </c>
    </row>
    <row r="82" spans="1:46" ht="43.5" customHeight="1">
      <c r="A82" s="1021"/>
      <c r="B82" s="1099"/>
      <c r="C82" s="1021"/>
      <c r="D82" s="1002"/>
      <c r="E82" s="634" t="s">
        <v>956</v>
      </c>
      <c r="F82" s="553" t="s">
        <v>1265</v>
      </c>
      <c r="G82" s="136" t="s">
        <v>440</v>
      </c>
      <c r="H82" s="136"/>
      <c r="I82" s="529"/>
      <c r="J82" s="529"/>
      <c r="K82" s="529"/>
      <c r="L82" s="618">
        <f t="shared" si="11"/>
        <v>0</v>
      </c>
      <c r="M82" s="537"/>
      <c r="N82" s="537"/>
      <c r="O82" s="537"/>
      <c r="P82" s="537"/>
      <c r="Q82" s="537"/>
      <c r="R82" s="537"/>
      <c r="S82" s="537"/>
      <c r="T82" s="537"/>
      <c r="U82" s="527">
        <f t="shared" si="0"/>
        <v>0</v>
      </c>
      <c r="V82" s="530"/>
      <c r="W82" s="530"/>
      <c r="X82" s="527">
        <f>9137556/140</f>
        <v>65268.25714285715</v>
      </c>
      <c r="Y82" s="530"/>
      <c r="Z82" s="530"/>
      <c r="AA82" s="527">
        <f t="shared" si="14"/>
        <v>0</v>
      </c>
      <c r="AB82" s="531"/>
      <c r="AC82" s="531"/>
      <c r="AD82" s="527">
        <f t="shared" si="15"/>
        <v>0</v>
      </c>
      <c r="AE82" s="527"/>
      <c r="AF82" s="527"/>
      <c r="AG82" s="626"/>
      <c r="AH82" s="626"/>
      <c r="AI82" s="527">
        <f t="shared" si="12"/>
        <v>0</v>
      </c>
      <c r="AJ82" s="626"/>
      <c r="AK82" s="626"/>
      <c r="AL82" s="527"/>
      <c r="AM82" s="527"/>
      <c r="AN82" s="527">
        <f t="shared" si="16"/>
        <v>65268.25714285715</v>
      </c>
      <c r="AO82" s="76">
        <f>AN82</f>
        <v>65268.25714285715</v>
      </c>
      <c r="AP82" s="76"/>
      <c r="AQ82" s="76"/>
      <c r="AR82" s="76"/>
      <c r="AS82" s="76"/>
      <c r="AT82" s="619">
        <f t="shared" si="7"/>
        <v>0</v>
      </c>
    </row>
    <row r="83" spans="1:46" ht="27.75" customHeight="1">
      <c r="A83" s="1021"/>
      <c r="B83" s="1099"/>
      <c r="C83" s="1021"/>
      <c r="D83" s="1002"/>
      <c r="E83" s="634" t="s">
        <v>957</v>
      </c>
      <c r="F83" s="553" t="s">
        <v>1266</v>
      </c>
      <c r="G83" s="136" t="s">
        <v>958</v>
      </c>
      <c r="H83" s="136"/>
      <c r="I83" s="529"/>
      <c r="J83" s="529"/>
      <c r="K83" s="529"/>
      <c r="L83" s="618">
        <f t="shared" si="11"/>
        <v>0</v>
      </c>
      <c r="M83" s="537"/>
      <c r="N83" s="537"/>
      <c r="O83" s="537"/>
      <c r="P83" s="537"/>
      <c r="Q83" s="537"/>
      <c r="R83" s="537"/>
      <c r="S83" s="537"/>
      <c r="T83" s="537"/>
      <c r="U83" s="527">
        <f t="shared" si="0"/>
        <v>0</v>
      </c>
      <c r="V83" s="530"/>
      <c r="W83" s="530"/>
      <c r="X83" s="527">
        <f t="shared" si="13"/>
        <v>0</v>
      </c>
      <c r="Y83" s="530"/>
      <c r="Z83" s="530"/>
      <c r="AA83" s="527">
        <f t="shared" si="14"/>
        <v>0</v>
      </c>
      <c r="AB83" s="531"/>
      <c r="AC83" s="531"/>
      <c r="AD83" s="527">
        <f t="shared" si="15"/>
        <v>0</v>
      </c>
      <c r="AE83" s="527"/>
      <c r="AF83" s="527"/>
      <c r="AG83" s="626"/>
      <c r="AH83" s="626"/>
      <c r="AI83" s="527">
        <f t="shared" si="12"/>
        <v>0</v>
      </c>
      <c r="AJ83" s="626"/>
      <c r="AK83" s="626"/>
      <c r="AL83" s="527"/>
      <c r="AM83" s="527">
        <f>1058400/140/3</f>
        <v>2520</v>
      </c>
      <c r="AN83" s="527">
        <f t="shared" si="16"/>
        <v>2520</v>
      </c>
      <c r="AO83" s="76">
        <f>AN83</f>
        <v>2520</v>
      </c>
      <c r="AP83" s="76"/>
      <c r="AQ83" s="76"/>
      <c r="AR83" s="76"/>
      <c r="AS83" s="76"/>
      <c r="AT83" s="619">
        <f t="shared" si="7"/>
        <v>0</v>
      </c>
    </row>
    <row r="84" spans="1:46" ht="34.5" customHeight="1">
      <c r="A84" s="1021"/>
      <c r="B84" s="1099"/>
      <c r="C84" s="1021"/>
      <c r="D84" s="1002"/>
      <c r="E84" s="634" t="s">
        <v>959</v>
      </c>
      <c r="F84" s="553" t="s">
        <v>1208</v>
      </c>
      <c r="G84" s="635" t="s">
        <v>960</v>
      </c>
      <c r="H84" s="136"/>
      <c r="I84" s="528"/>
      <c r="J84" s="529"/>
      <c r="K84" s="529"/>
      <c r="L84" s="618">
        <f t="shared" si="11"/>
        <v>0</v>
      </c>
      <c r="M84" s="537"/>
      <c r="N84" s="537"/>
      <c r="O84" s="537"/>
      <c r="P84" s="537"/>
      <c r="Q84" s="537"/>
      <c r="R84" s="537"/>
      <c r="S84" s="537"/>
      <c r="T84" s="537"/>
      <c r="U84" s="527">
        <f t="shared" si="0"/>
        <v>0</v>
      </c>
      <c r="V84" s="530"/>
      <c r="W84" s="530"/>
      <c r="X84" s="527">
        <f t="shared" si="13"/>
        <v>0</v>
      </c>
      <c r="Y84" s="530"/>
      <c r="Z84" s="530"/>
      <c r="AA84" s="527">
        <f t="shared" si="14"/>
        <v>0</v>
      </c>
      <c r="AB84" s="531"/>
      <c r="AC84" s="531"/>
      <c r="AD84" s="527">
        <f t="shared" si="15"/>
        <v>0</v>
      </c>
      <c r="AE84" s="527"/>
      <c r="AF84" s="527"/>
      <c r="AG84" s="626"/>
      <c r="AH84" s="626"/>
      <c r="AI84" s="527">
        <f t="shared" si="12"/>
        <v>0</v>
      </c>
      <c r="AJ84" s="626"/>
      <c r="AK84" s="626"/>
      <c r="AL84" s="527"/>
      <c r="AM84" s="527"/>
      <c r="AN84" s="527">
        <f t="shared" si="16"/>
        <v>0</v>
      </c>
      <c r="AO84" s="76"/>
      <c r="AP84" s="76"/>
      <c r="AQ84" s="76"/>
      <c r="AR84" s="76"/>
      <c r="AS84" s="76"/>
      <c r="AT84" s="619">
        <f t="shared" si="7"/>
        <v>0</v>
      </c>
    </row>
    <row r="85" spans="1:46" ht="26.25" customHeight="1">
      <c r="A85" s="1021"/>
      <c r="B85" s="1099"/>
      <c r="C85" s="1021"/>
      <c r="D85" s="1002"/>
      <c r="E85" s="634" t="s">
        <v>218</v>
      </c>
      <c r="F85" s="553"/>
      <c r="G85" s="136"/>
      <c r="H85" s="136"/>
      <c r="I85" s="528"/>
      <c r="J85" s="529"/>
      <c r="K85" s="529"/>
      <c r="L85" s="618">
        <f t="shared" si="11"/>
        <v>0</v>
      </c>
      <c r="M85" s="537"/>
      <c r="N85" s="537"/>
      <c r="O85" s="537"/>
      <c r="P85" s="537"/>
      <c r="Q85" s="537"/>
      <c r="R85" s="537"/>
      <c r="S85" s="537"/>
      <c r="T85" s="537"/>
      <c r="U85" s="527">
        <f t="shared" si="0"/>
        <v>0</v>
      </c>
      <c r="V85" s="530"/>
      <c r="W85" s="530"/>
      <c r="X85" s="527">
        <f t="shared" si="13"/>
        <v>0</v>
      </c>
      <c r="Y85" s="530"/>
      <c r="Z85" s="530"/>
      <c r="AA85" s="527">
        <f t="shared" si="14"/>
        <v>0</v>
      </c>
      <c r="AB85" s="531"/>
      <c r="AC85" s="531"/>
      <c r="AD85" s="527">
        <f t="shared" si="15"/>
        <v>0</v>
      </c>
      <c r="AE85" s="527"/>
      <c r="AF85" s="527"/>
      <c r="AG85" s="626"/>
      <c r="AH85" s="626"/>
      <c r="AI85" s="527">
        <f t="shared" si="12"/>
        <v>0</v>
      </c>
      <c r="AJ85" s="626"/>
      <c r="AK85" s="626"/>
      <c r="AL85" s="527"/>
      <c r="AM85" s="527"/>
      <c r="AN85" s="527">
        <f t="shared" si="16"/>
        <v>0</v>
      </c>
      <c r="AO85" s="76"/>
      <c r="AP85" s="76"/>
      <c r="AQ85" s="76"/>
      <c r="AR85" s="76"/>
      <c r="AS85" s="76"/>
      <c r="AT85" s="619">
        <f t="shared" si="7"/>
        <v>0</v>
      </c>
    </row>
    <row r="86" spans="1:46" ht="20.25" customHeight="1">
      <c r="A86" s="1021"/>
      <c r="B86" s="1099"/>
      <c r="C86" s="1021"/>
      <c r="D86" s="1095"/>
      <c r="E86" s="634" t="s">
        <v>219</v>
      </c>
      <c r="F86" s="136"/>
      <c r="G86" s="136"/>
      <c r="H86" s="136"/>
      <c r="I86" s="528"/>
      <c r="J86" s="529"/>
      <c r="K86" s="529"/>
      <c r="L86" s="618">
        <f t="shared" si="11"/>
        <v>0</v>
      </c>
      <c r="M86" s="537"/>
      <c r="N86" s="537"/>
      <c r="O86" s="537"/>
      <c r="P86" s="537"/>
      <c r="Q86" s="537"/>
      <c r="R86" s="537"/>
      <c r="S86" s="537"/>
      <c r="T86" s="537"/>
      <c r="U86" s="527">
        <f t="shared" si="0"/>
        <v>0</v>
      </c>
      <c r="V86" s="530"/>
      <c r="W86" s="530"/>
      <c r="X86" s="527">
        <f t="shared" si="13"/>
        <v>0</v>
      </c>
      <c r="Y86" s="530"/>
      <c r="Z86" s="530"/>
      <c r="AA86" s="527">
        <f t="shared" si="14"/>
        <v>0</v>
      </c>
      <c r="AB86" s="531"/>
      <c r="AC86" s="531"/>
      <c r="AD86" s="527">
        <f t="shared" si="15"/>
        <v>0</v>
      </c>
      <c r="AE86" s="527"/>
      <c r="AF86" s="527"/>
      <c r="AG86" s="626"/>
      <c r="AH86" s="626"/>
      <c r="AI86" s="527">
        <f t="shared" si="12"/>
        <v>0</v>
      </c>
      <c r="AJ86" s="626"/>
      <c r="AK86" s="626"/>
      <c r="AL86" s="527">
        <f>AJ86*AK86</f>
        <v>0</v>
      </c>
      <c r="AM86" s="527"/>
      <c r="AN86" s="527">
        <f t="shared" si="16"/>
        <v>0</v>
      </c>
      <c r="AO86" s="76"/>
      <c r="AP86" s="76"/>
      <c r="AQ86" s="76"/>
      <c r="AR86" s="76"/>
      <c r="AS86" s="76"/>
      <c r="AT86" s="619">
        <f t="shared" si="7"/>
        <v>0</v>
      </c>
    </row>
    <row r="87" spans="1:46" ht="20.25" customHeight="1">
      <c r="A87" s="413"/>
      <c r="B87" s="453"/>
      <c r="C87" s="454"/>
      <c r="D87" s="455" t="s">
        <v>439</v>
      </c>
      <c r="E87" s="454"/>
      <c r="F87" s="455"/>
      <c r="G87" s="455"/>
      <c r="H87" s="455"/>
      <c r="I87" s="539"/>
      <c r="J87" s="540"/>
      <c r="K87" s="540"/>
      <c r="L87" s="541"/>
      <c r="M87" s="540"/>
      <c r="N87" s="540"/>
      <c r="O87" s="540"/>
      <c r="P87" s="540"/>
      <c r="Q87" s="540"/>
      <c r="R87" s="540"/>
      <c r="S87" s="540"/>
      <c r="T87" s="540"/>
      <c r="U87" s="539">
        <f>SUM(U66:U86)</f>
        <v>94480</v>
      </c>
      <c r="V87" s="539"/>
      <c r="W87" s="539"/>
      <c r="X87" s="539">
        <f aca="true" t="shared" si="17" ref="X87:AT87">SUM(X66:X86)</f>
        <v>133518.25714285715</v>
      </c>
      <c r="Y87" s="539"/>
      <c r="Z87" s="539"/>
      <c r="AA87" s="539">
        <f t="shared" si="17"/>
        <v>525000</v>
      </c>
      <c r="AB87" s="539"/>
      <c r="AC87" s="539"/>
      <c r="AD87" s="539">
        <f t="shared" si="17"/>
        <v>151000</v>
      </c>
      <c r="AE87" s="539">
        <f t="shared" si="17"/>
        <v>0</v>
      </c>
      <c r="AF87" s="539">
        <f t="shared" si="17"/>
        <v>0</v>
      </c>
      <c r="AG87" s="539">
        <f t="shared" si="17"/>
        <v>0</v>
      </c>
      <c r="AH87" s="539">
        <f t="shared" si="17"/>
        <v>0</v>
      </c>
      <c r="AI87" s="539">
        <f t="shared" si="17"/>
        <v>0</v>
      </c>
      <c r="AJ87" s="539">
        <f t="shared" si="17"/>
        <v>0</v>
      </c>
      <c r="AK87" s="539">
        <f t="shared" si="17"/>
        <v>0</v>
      </c>
      <c r="AL87" s="539">
        <f t="shared" si="17"/>
        <v>0</v>
      </c>
      <c r="AM87" s="539">
        <f t="shared" si="17"/>
        <v>27377.142857142855</v>
      </c>
      <c r="AN87" s="539">
        <f t="shared" si="17"/>
        <v>931375.4</v>
      </c>
      <c r="AO87" s="539">
        <f t="shared" si="17"/>
        <v>80645.40000000001</v>
      </c>
      <c r="AP87" s="539">
        <f t="shared" si="17"/>
        <v>0</v>
      </c>
      <c r="AQ87" s="539">
        <f t="shared" si="17"/>
        <v>0</v>
      </c>
      <c r="AR87" s="539">
        <f t="shared" si="17"/>
        <v>72900</v>
      </c>
      <c r="AS87" s="539">
        <f t="shared" si="17"/>
        <v>0</v>
      </c>
      <c r="AT87" s="539">
        <f t="shared" si="17"/>
        <v>777830</v>
      </c>
    </row>
    <row r="88" spans="1:46" ht="11.25">
      <c r="A88" s="636"/>
      <c r="B88" s="637"/>
      <c r="C88" s="636"/>
      <c r="D88" s="638"/>
      <c r="E88" s="639"/>
      <c r="F88" s="640"/>
      <c r="G88" s="641"/>
      <c r="H88" s="641"/>
      <c r="I88" s="642"/>
      <c r="J88" s="642"/>
      <c r="K88" s="642"/>
      <c r="L88" s="642">
        <f aca="true" t="shared" si="18" ref="L88:AT88">L42+L64+L87</f>
        <v>259200</v>
      </c>
      <c r="M88" s="642">
        <f t="shared" si="18"/>
        <v>0</v>
      </c>
      <c r="N88" s="642">
        <f t="shared" si="18"/>
        <v>0</v>
      </c>
      <c r="O88" s="642">
        <f t="shared" si="18"/>
        <v>0</v>
      </c>
      <c r="P88" s="642">
        <f t="shared" si="18"/>
        <v>0</v>
      </c>
      <c r="Q88" s="642">
        <f t="shared" si="18"/>
        <v>0</v>
      </c>
      <c r="R88" s="642">
        <f t="shared" si="18"/>
        <v>0</v>
      </c>
      <c r="S88" s="642">
        <f t="shared" si="18"/>
        <v>0</v>
      </c>
      <c r="T88" s="642">
        <f t="shared" si="18"/>
        <v>0</v>
      </c>
      <c r="U88" s="642">
        <f t="shared" si="18"/>
        <v>883515</v>
      </c>
      <c r="V88" s="642">
        <f t="shared" si="18"/>
        <v>0</v>
      </c>
      <c r="W88" s="642">
        <f t="shared" si="18"/>
        <v>0</v>
      </c>
      <c r="X88" s="642">
        <f t="shared" si="18"/>
        <v>2571218.257142857</v>
      </c>
      <c r="Y88" s="642">
        <f t="shared" si="18"/>
        <v>0</v>
      </c>
      <c r="Z88" s="642">
        <f t="shared" si="18"/>
        <v>0</v>
      </c>
      <c r="AA88" s="642">
        <f t="shared" si="18"/>
        <v>6506250</v>
      </c>
      <c r="AB88" s="642">
        <f t="shared" si="18"/>
        <v>0</v>
      </c>
      <c r="AC88" s="642">
        <f t="shared" si="18"/>
        <v>0</v>
      </c>
      <c r="AD88" s="642">
        <f t="shared" si="18"/>
        <v>179500</v>
      </c>
      <c r="AE88" s="642">
        <f t="shared" si="18"/>
        <v>0</v>
      </c>
      <c r="AF88" s="642">
        <f t="shared" si="18"/>
        <v>250000</v>
      </c>
      <c r="AG88" s="642">
        <f t="shared" si="18"/>
        <v>0</v>
      </c>
      <c r="AH88" s="642">
        <f t="shared" si="18"/>
        <v>0</v>
      </c>
      <c r="AI88" s="642">
        <f t="shared" si="18"/>
        <v>0</v>
      </c>
      <c r="AJ88" s="642">
        <f t="shared" si="18"/>
        <v>0</v>
      </c>
      <c r="AK88" s="642">
        <f t="shared" si="18"/>
        <v>0</v>
      </c>
      <c r="AL88" s="642">
        <f t="shared" si="18"/>
        <v>0</v>
      </c>
      <c r="AM88" s="642">
        <f t="shared" si="18"/>
        <v>202897.14285714284</v>
      </c>
      <c r="AN88" s="642">
        <f t="shared" si="18"/>
        <v>10852580.4</v>
      </c>
      <c r="AO88" s="642">
        <f t="shared" si="18"/>
        <v>96145.40000000001</v>
      </c>
      <c r="AP88" s="642">
        <f t="shared" si="18"/>
        <v>450000</v>
      </c>
      <c r="AQ88" s="642">
        <f t="shared" si="18"/>
        <v>0</v>
      </c>
      <c r="AR88" s="642">
        <f t="shared" si="18"/>
        <v>372900</v>
      </c>
      <c r="AS88" s="642">
        <f t="shared" si="18"/>
        <v>0</v>
      </c>
      <c r="AT88" s="642">
        <f t="shared" si="18"/>
        <v>9933535</v>
      </c>
    </row>
    <row r="91" spans="40:49" ht="11.25">
      <c r="AN91" s="550">
        <f>AO88+AP88+AQ88+AR88+AS88+AT88</f>
        <v>10852580.4</v>
      </c>
      <c r="AO91" s="550"/>
      <c r="AP91" s="550"/>
      <c r="AQ91" s="550"/>
      <c r="AR91" s="550"/>
      <c r="AS91" s="550"/>
      <c r="AT91" s="550"/>
      <c r="AU91" s="550"/>
      <c r="AV91" s="550"/>
      <c r="AW91" s="550"/>
    </row>
    <row r="95" ht="11.25">
      <c r="AO95" s="549" t="s">
        <v>961</v>
      </c>
    </row>
  </sheetData>
  <sheetProtection/>
  <mergeCells count="71">
    <mergeCell ref="G32:G33"/>
    <mergeCell ref="D10:D19"/>
    <mergeCell ref="C10:C19"/>
    <mergeCell ref="A9:AT9"/>
    <mergeCell ref="A43:AT43"/>
    <mergeCell ref="C30:C31"/>
    <mergeCell ref="D23:D26"/>
    <mergeCell ref="D35:D37"/>
    <mergeCell ref="D38:D41"/>
    <mergeCell ref="C35:C37"/>
    <mergeCell ref="C38:C41"/>
    <mergeCell ref="C20:C22"/>
    <mergeCell ref="F25:F26"/>
    <mergeCell ref="D27:D29"/>
    <mergeCell ref="D30:D31"/>
    <mergeCell ref="D32:D33"/>
    <mergeCell ref="D20:D22"/>
    <mergeCell ref="C32:C33"/>
    <mergeCell ref="C23:C26"/>
    <mergeCell ref="AM3:AM7"/>
    <mergeCell ref="AJ5:AL5"/>
    <mergeCell ref="AE3:AL4"/>
    <mergeCell ref="V4:AA4"/>
    <mergeCell ref="Y5:AA5"/>
    <mergeCell ref="AN3:AN7"/>
    <mergeCell ref="B2:R2"/>
    <mergeCell ref="I3:L3"/>
    <mergeCell ref="M3:AD3"/>
    <mergeCell ref="AB4:AD6"/>
    <mergeCell ref="A3:F3"/>
    <mergeCell ref="G5:G7"/>
    <mergeCell ref="E4:F7"/>
    <mergeCell ref="A4:A7"/>
    <mergeCell ref="B4:B7"/>
    <mergeCell ref="C4:D7"/>
    <mergeCell ref="C81:C86"/>
    <mergeCell ref="D81:D86"/>
    <mergeCell ref="AP6:AS6"/>
    <mergeCell ref="I4:L5"/>
    <mergeCell ref="M4:U5"/>
    <mergeCell ref="AF5:AF7"/>
    <mergeCell ref="AG5:AI5"/>
    <mergeCell ref="AO3:AT5"/>
    <mergeCell ref="AE5:AE7"/>
    <mergeCell ref="V5:X5"/>
    <mergeCell ref="D47:D49"/>
    <mergeCell ref="C56:C58"/>
    <mergeCell ref="C76:C80"/>
    <mergeCell ref="D76:D80"/>
    <mergeCell ref="A65:AT65"/>
    <mergeCell ref="H66:H67"/>
    <mergeCell ref="D62:D63"/>
    <mergeCell ref="A66:A86"/>
    <mergeCell ref="B66:B86"/>
    <mergeCell ref="D66:D71"/>
    <mergeCell ref="C62:C63"/>
    <mergeCell ref="C64:F64"/>
    <mergeCell ref="C66:C75"/>
    <mergeCell ref="D72:D75"/>
    <mergeCell ref="C59:C61"/>
    <mergeCell ref="D59:D61"/>
    <mergeCell ref="A44:A63"/>
    <mergeCell ref="B44:B63"/>
    <mergeCell ref="C50:C51"/>
    <mergeCell ref="D50:D51"/>
    <mergeCell ref="C52:C55"/>
    <mergeCell ref="C44:C46"/>
    <mergeCell ref="D44:D46"/>
    <mergeCell ref="D52:D55"/>
    <mergeCell ref="D56:D58"/>
    <mergeCell ref="C47:C49"/>
  </mergeCells>
  <printOptions/>
  <pageMargins left="0.7" right="0.7" top="0.75" bottom="0.75" header="0.3" footer="0.3"/>
  <pageSetup orientation="landscape" r:id="rId1"/>
</worksheet>
</file>

<file path=xl/worksheets/sheet7.xml><?xml version="1.0" encoding="utf-8"?>
<worksheet xmlns="http://schemas.openxmlformats.org/spreadsheetml/2006/main" xmlns:r="http://schemas.openxmlformats.org/officeDocument/2006/relationships">
  <dimension ref="A1:AY44"/>
  <sheetViews>
    <sheetView zoomScale="160" zoomScaleNormal="160" zoomScalePageLayoutView="0" workbookViewId="0" topLeftCell="A39">
      <selection activeCell="C10" sqref="C10:C12"/>
    </sheetView>
  </sheetViews>
  <sheetFormatPr defaultColWidth="9.28125" defaultRowHeight="15"/>
  <cols>
    <col min="1" max="1" width="7.28125" style="23" customWidth="1"/>
    <col min="2" max="2" width="4.7109375" style="147" customWidth="1"/>
    <col min="3" max="3" width="25.28125" style="34" customWidth="1"/>
    <col min="4" max="4" width="4.28125" style="40" customWidth="1"/>
    <col min="5" max="5" width="25.421875" style="10" customWidth="1"/>
    <col min="6" max="6" width="18.421875" style="10" customWidth="1"/>
    <col min="7" max="7" width="14.7109375" style="10" customWidth="1"/>
    <col min="8" max="8" width="10.421875" style="41" customWidth="1"/>
    <col min="9" max="9" width="9.421875" style="11" customWidth="1"/>
    <col min="10" max="10" width="7.28125" style="11" customWidth="1"/>
    <col min="11" max="11" width="13.7109375" style="41" customWidth="1"/>
    <col min="12" max="12" width="10.00390625" style="1" customWidth="1"/>
    <col min="13" max="13" width="11.421875" style="1" customWidth="1"/>
    <col min="14" max="14" width="10.7109375" style="1" customWidth="1"/>
    <col min="15" max="15" width="11.7109375" style="1" customWidth="1"/>
    <col min="16" max="16" width="14.28125" style="1" customWidth="1"/>
    <col min="17" max="17" width="12.7109375" style="1" customWidth="1"/>
    <col min="18" max="19" width="11.57421875" style="1" customWidth="1"/>
    <col min="20" max="20" width="10.7109375" style="36" customWidth="1"/>
    <col min="21" max="21" width="9.7109375" style="36" customWidth="1"/>
    <col min="22" max="22" width="9.00390625" style="36" customWidth="1"/>
    <col min="23" max="23" width="12.421875" style="36" customWidth="1"/>
    <col min="24" max="24" width="8.7109375" style="35" customWidth="1"/>
    <col min="25" max="25" width="9.28125" style="35" customWidth="1"/>
    <col min="26" max="26" width="12.7109375" style="35" customWidth="1"/>
    <col min="27" max="27" width="10.421875" style="35" customWidth="1"/>
    <col min="28" max="28" width="10.28125" style="35" customWidth="1"/>
    <col min="29" max="29" width="12.57421875" style="35" customWidth="1"/>
    <col min="30" max="30" width="15.28125" style="35" customWidth="1"/>
    <col min="31" max="31" width="12.57421875" style="35" customWidth="1"/>
    <col min="32" max="32" width="7.28125" style="35" customWidth="1"/>
    <col min="33" max="33" width="13.28125" style="35" customWidth="1"/>
    <col min="34" max="34" width="12.00390625" style="35" customWidth="1"/>
    <col min="35" max="35" width="6.7109375" style="35" customWidth="1"/>
    <col min="36" max="36" width="11.00390625" style="35" customWidth="1"/>
    <col min="37" max="37" width="10.7109375" style="35" customWidth="1"/>
    <col min="38" max="38" width="14.00390625" style="60" customWidth="1"/>
    <col min="39" max="39" width="15.28125" style="35" customWidth="1"/>
    <col min="40" max="40" width="16.28125" style="35" customWidth="1"/>
    <col min="41" max="42" width="14.57421875" style="35" customWidth="1"/>
    <col min="43" max="43" width="13.00390625" style="361" customWidth="1"/>
    <col min="44" max="44" width="13.00390625" style="35" customWidth="1"/>
    <col min="45" max="45" width="14.7109375" style="38" customWidth="1"/>
    <col min="46" max="46" width="2.57421875" style="3" hidden="1" customWidth="1"/>
    <col min="47" max="47" width="10.7109375" style="35" hidden="1" customWidth="1"/>
    <col min="48" max="48" width="10.28125" style="35" hidden="1" customWidth="1"/>
    <col min="49" max="49" width="11.28125" style="35" hidden="1" customWidth="1"/>
    <col min="50" max="50" width="12.28125" style="3" hidden="1" customWidth="1"/>
    <col min="51" max="16384" width="9.28125" style="3" customWidth="1"/>
  </cols>
  <sheetData>
    <row r="1" spans="1:49" s="45" customFormat="1" ht="11.25">
      <c r="A1" s="55"/>
      <c r="B1" s="129"/>
      <c r="C1" s="25"/>
      <c r="D1" s="46"/>
      <c r="E1" s="47"/>
      <c r="F1" s="47"/>
      <c r="G1" s="47"/>
      <c r="H1" s="48"/>
      <c r="I1" s="49"/>
      <c r="J1" s="49"/>
      <c r="K1" s="48"/>
      <c r="L1" s="50"/>
      <c r="M1" s="50"/>
      <c r="N1" s="50"/>
      <c r="O1" s="50"/>
      <c r="P1" s="50"/>
      <c r="Q1" s="50"/>
      <c r="R1" s="50"/>
      <c r="S1" s="50"/>
      <c r="T1" s="51"/>
      <c r="U1" s="51"/>
      <c r="V1" s="51"/>
      <c r="W1" s="51"/>
      <c r="X1" s="52"/>
      <c r="Y1" s="52"/>
      <c r="Z1" s="52"/>
      <c r="AA1" s="52"/>
      <c r="AB1" s="52"/>
      <c r="AC1" s="52"/>
      <c r="AD1" s="52"/>
      <c r="AE1" s="52"/>
      <c r="AF1" s="52"/>
      <c r="AG1" s="52"/>
      <c r="AH1" s="52"/>
      <c r="AI1" s="52"/>
      <c r="AJ1" s="52"/>
      <c r="AK1" s="52"/>
      <c r="AL1" s="59"/>
      <c r="AM1" s="52"/>
      <c r="AN1" s="52"/>
      <c r="AO1" s="52"/>
      <c r="AP1" s="52"/>
      <c r="AQ1" s="360"/>
      <c r="AR1" s="52"/>
      <c r="AS1" s="53"/>
      <c r="AU1" s="52"/>
      <c r="AV1" s="52"/>
      <c r="AW1" s="52"/>
    </row>
    <row r="2" spans="1:49" s="45" customFormat="1" ht="13.5" thickBot="1">
      <c r="A2" s="56"/>
      <c r="B2" s="1125"/>
      <c r="C2" s="1125"/>
      <c r="D2" s="1125"/>
      <c r="E2" s="1125"/>
      <c r="F2" s="1125"/>
      <c r="G2" s="1125"/>
      <c r="H2" s="1125"/>
      <c r="I2" s="1125"/>
      <c r="J2" s="1125"/>
      <c r="K2" s="1125"/>
      <c r="L2" s="1125"/>
      <c r="M2" s="1125"/>
      <c r="N2" s="1125"/>
      <c r="O2" s="1125"/>
      <c r="P2" s="1125"/>
      <c r="Q2" s="1125"/>
      <c r="R2" s="54"/>
      <c r="S2" s="54"/>
      <c r="T2" s="54"/>
      <c r="U2" s="54"/>
      <c r="V2" s="54"/>
      <c r="W2" s="54"/>
      <c r="X2" s="54"/>
      <c r="Y2" s="54"/>
      <c r="Z2" s="54"/>
      <c r="AA2" s="54"/>
      <c r="AB2" s="54"/>
      <c r="AC2" s="54"/>
      <c r="AD2" s="54"/>
      <c r="AE2" s="54"/>
      <c r="AF2" s="54"/>
      <c r="AG2" s="54"/>
      <c r="AH2" s="54"/>
      <c r="AI2" s="54"/>
      <c r="AJ2" s="54"/>
      <c r="AK2" s="54"/>
      <c r="AL2" s="54"/>
      <c r="AM2" s="52"/>
      <c r="AN2" s="52"/>
      <c r="AO2" s="52"/>
      <c r="AP2" s="52"/>
      <c r="AQ2" s="360"/>
      <c r="AR2" s="52"/>
      <c r="AS2" s="53"/>
      <c r="AU2" s="52"/>
      <c r="AV2" s="52"/>
      <c r="AW2" s="52"/>
    </row>
    <row r="3" spans="1:50" s="15" customFormat="1" ht="22.5" customHeight="1">
      <c r="A3" s="1126"/>
      <c r="B3" s="1127"/>
      <c r="C3" s="1127"/>
      <c r="D3" s="1127"/>
      <c r="E3" s="1128"/>
      <c r="F3" s="738"/>
      <c r="G3" s="656"/>
      <c r="H3" s="1085" t="s">
        <v>1268</v>
      </c>
      <c r="I3" s="1086"/>
      <c r="J3" s="1086"/>
      <c r="K3" s="1087"/>
      <c r="L3" s="1088" t="s">
        <v>447</v>
      </c>
      <c r="M3" s="1086"/>
      <c r="N3" s="1086"/>
      <c r="O3" s="1086"/>
      <c r="P3" s="1086"/>
      <c r="Q3" s="1086"/>
      <c r="R3" s="1086"/>
      <c r="S3" s="1086"/>
      <c r="T3" s="1086"/>
      <c r="U3" s="1086"/>
      <c r="V3" s="1086"/>
      <c r="W3" s="1086"/>
      <c r="X3" s="1086"/>
      <c r="Y3" s="1086"/>
      <c r="Z3" s="1086"/>
      <c r="AA3" s="1086"/>
      <c r="AB3" s="1086"/>
      <c r="AC3" s="1087"/>
      <c r="AD3" s="1044" t="s">
        <v>962</v>
      </c>
      <c r="AE3" s="1045"/>
      <c r="AF3" s="1045"/>
      <c r="AG3" s="1045"/>
      <c r="AH3" s="1045"/>
      <c r="AI3" s="1045"/>
      <c r="AJ3" s="1045"/>
      <c r="AK3" s="1046"/>
      <c r="AL3" s="1123" t="s">
        <v>963</v>
      </c>
      <c r="AM3" s="1123" t="s">
        <v>964</v>
      </c>
      <c r="AN3" s="1118" t="s">
        <v>965</v>
      </c>
      <c r="AO3" s="1118"/>
      <c r="AP3" s="1118"/>
      <c r="AQ3" s="1118"/>
      <c r="AR3" s="1119"/>
      <c r="AS3" s="1120"/>
      <c r="AU3" s="1129" t="s">
        <v>11</v>
      </c>
      <c r="AV3" s="1130"/>
      <c r="AW3" s="1130"/>
      <c r="AX3" s="1131"/>
    </row>
    <row r="4" spans="1:50" s="5" customFormat="1" ht="11.25" customHeight="1">
      <c r="A4" s="1115" t="s">
        <v>966</v>
      </c>
      <c r="B4" s="1138" t="s">
        <v>967</v>
      </c>
      <c r="C4" s="1139"/>
      <c r="D4" s="1138" t="s">
        <v>609</v>
      </c>
      <c r="E4" s="1139"/>
      <c r="F4" s="739"/>
      <c r="G4" s="657"/>
      <c r="H4" s="1036" t="s">
        <v>968</v>
      </c>
      <c r="I4" s="1037"/>
      <c r="J4" s="1037"/>
      <c r="K4" s="1038"/>
      <c r="L4" s="1053" t="s">
        <v>969</v>
      </c>
      <c r="M4" s="1101"/>
      <c r="N4" s="1101"/>
      <c r="O4" s="1101"/>
      <c r="P4" s="1101"/>
      <c r="Q4" s="1101"/>
      <c r="R4" s="1101"/>
      <c r="S4" s="1101"/>
      <c r="T4" s="1054"/>
      <c r="U4" s="1026" t="s">
        <v>970</v>
      </c>
      <c r="V4" s="1027"/>
      <c r="W4" s="1027"/>
      <c r="X4" s="1027"/>
      <c r="Y4" s="1027"/>
      <c r="Z4" s="1028"/>
      <c r="AA4" s="1029" t="s">
        <v>971</v>
      </c>
      <c r="AB4" s="1030"/>
      <c r="AC4" s="1031"/>
      <c r="AD4" s="1047"/>
      <c r="AE4" s="1048"/>
      <c r="AF4" s="1048"/>
      <c r="AG4" s="1048"/>
      <c r="AH4" s="1048"/>
      <c r="AI4" s="1048"/>
      <c r="AJ4" s="1048"/>
      <c r="AK4" s="1049"/>
      <c r="AL4" s="1124"/>
      <c r="AM4" s="1124"/>
      <c r="AN4" s="1121"/>
      <c r="AO4" s="1121"/>
      <c r="AP4" s="1121"/>
      <c r="AQ4" s="1121"/>
      <c r="AR4" s="1026"/>
      <c r="AS4" s="1122"/>
      <c r="AU4" s="1132"/>
      <c r="AV4" s="1133"/>
      <c r="AW4" s="1133"/>
      <c r="AX4" s="1134"/>
    </row>
    <row r="5" spans="1:50" s="5" customFormat="1" ht="11.25" customHeight="1">
      <c r="A5" s="1116"/>
      <c r="B5" s="1140"/>
      <c r="C5" s="1141"/>
      <c r="D5" s="1140"/>
      <c r="E5" s="1141"/>
      <c r="F5" s="740"/>
      <c r="G5" s="1051" t="s">
        <v>446</v>
      </c>
      <c r="H5" s="1071"/>
      <c r="I5" s="1072"/>
      <c r="J5" s="1072"/>
      <c r="K5" s="1073"/>
      <c r="L5" s="1057"/>
      <c r="M5" s="1102"/>
      <c r="N5" s="1102"/>
      <c r="O5" s="1102"/>
      <c r="P5" s="1102"/>
      <c r="Q5" s="1102"/>
      <c r="R5" s="1102"/>
      <c r="S5" s="1102"/>
      <c r="T5" s="1058"/>
      <c r="U5" s="1026" t="s">
        <v>972</v>
      </c>
      <c r="V5" s="1027"/>
      <c r="W5" s="1028"/>
      <c r="X5" s="1026" t="s">
        <v>973</v>
      </c>
      <c r="Y5" s="1027"/>
      <c r="Z5" s="1028"/>
      <c r="AA5" s="1032"/>
      <c r="AB5" s="1033"/>
      <c r="AC5" s="1034"/>
      <c r="AD5" s="1042" t="s">
        <v>974</v>
      </c>
      <c r="AE5" s="1042" t="s">
        <v>975</v>
      </c>
      <c r="AF5" s="1026" t="s">
        <v>976</v>
      </c>
      <c r="AG5" s="1027"/>
      <c r="AH5" s="1028"/>
      <c r="AI5" s="1026" t="s">
        <v>977</v>
      </c>
      <c r="AJ5" s="1027"/>
      <c r="AK5" s="1028"/>
      <c r="AL5" s="1124"/>
      <c r="AM5" s="1124"/>
      <c r="AN5" s="1121"/>
      <c r="AO5" s="1121"/>
      <c r="AP5" s="1121"/>
      <c r="AQ5" s="1121"/>
      <c r="AR5" s="1026"/>
      <c r="AS5" s="1122"/>
      <c r="AU5" s="1135"/>
      <c r="AV5" s="1136"/>
      <c r="AW5" s="1136"/>
      <c r="AX5" s="1137"/>
    </row>
    <row r="6" spans="1:50" s="5" customFormat="1" ht="11.25">
      <c r="A6" s="1116"/>
      <c r="B6" s="1140"/>
      <c r="C6" s="1141"/>
      <c r="D6" s="1140"/>
      <c r="E6" s="1141"/>
      <c r="F6" s="740"/>
      <c r="G6" s="1051"/>
      <c r="H6" s="772"/>
      <c r="I6" s="773"/>
      <c r="J6" s="773"/>
      <c r="K6" s="774"/>
      <c r="L6" s="770"/>
      <c r="M6" s="783"/>
      <c r="N6" s="783"/>
      <c r="O6" s="783"/>
      <c r="P6" s="783"/>
      <c r="Q6" s="783"/>
      <c r="R6" s="783"/>
      <c r="S6" s="783"/>
      <c r="T6" s="771"/>
      <c r="U6" s="775"/>
      <c r="V6" s="776"/>
      <c r="W6" s="777"/>
      <c r="X6" s="775"/>
      <c r="Y6" s="776"/>
      <c r="Z6" s="777"/>
      <c r="AA6" s="778"/>
      <c r="AB6" s="779"/>
      <c r="AC6" s="780"/>
      <c r="AD6" s="1124"/>
      <c r="AE6" s="1124"/>
      <c r="AF6" s="741"/>
      <c r="AG6" s="742"/>
      <c r="AH6" s="743"/>
      <c r="AI6" s="741"/>
      <c r="AJ6" s="742"/>
      <c r="AK6" s="743"/>
      <c r="AL6" s="1124"/>
      <c r="AM6" s="1124"/>
      <c r="AN6" s="1042" t="s">
        <v>978</v>
      </c>
      <c r="AO6" s="1026" t="s">
        <v>448</v>
      </c>
      <c r="AP6" s="1027"/>
      <c r="AQ6" s="1027"/>
      <c r="AR6" s="1028"/>
      <c r="AS6" s="744"/>
      <c r="AU6" s="352"/>
      <c r="AV6" s="353"/>
      <c r="AW6" s="353"/>
      <c r="AX6" s="354"/>
    </row>
    <row r="7" spans="1:50" s="4" customFormat="1" ht="63" customHeight="1">
      <c r="A7" s="1117"/>
      <c r="B7" s="1142"/>
      <c r="C7" s="1143"/>
      <c r="D7" s="1142"/>
      <c r="E7" s="1143"/>
      <c r="F7" s="782" t="s">
        <v>445</v>
      </c>
      <c r="G7" s="1052"/>
      <c r="H7" s="658" t="s">
        <v>979</v>
      </c>
      <c r="I7" s="659" t="s">
        <v>980</v>
      </c>
      <c r="J7" s="659" t="s">
        <v>981</v>
      </c>
      <c r="K7" s="659" t="s">
        <v>982</v>
      </c>
      <c r="L7" s="659" t="s">
        <v>983</v>
      </c>
      <c r="M7" s="659" t="s">
        <v>984</v>
      </c>
      <c r="N7" s="659" t="s">
        <v>985</v>
      </c>
      <c r="O7" s="659" t="s">
        <v>986</v>
      </c>
      <c r="P7" s="659" t="s">
        <v>987</v>
      </c>
      <c r="Q7" s="659" t="s">
        <v>988</v>
      </c>
      <c r="R7" s="659" t="s">
        <v>989</v>
      </c>
      <c r="S7" s="659" t="s">
        <v>990</v>
      </c>
      <c r="T7" s="781" t="s">
        <v>991</v>
      </c>
      <c r="U7" s="659" t="s">
        <v>992</v>
      </c>
      <c r="V7" s="781" t="s">
        <v>993</v>
      </c>
      <c r="W7" s="781" t="s">
        <v>994</v>
      </c>
      <c r="X7" s="659" t="s">
        <v>995</v>
      </c>
      <c r="Y7" s="781" t="s">
        <v>996</v>
      </c>
      <c r="Z7" s="781" t="s">
        <v>997</v>
      </c>
      <c r="AA7" s="781" t="s">
        <v>998</v>
      </c>
      <c r="AB7" s="781" t="s">
        <v>999</v>
      </c>
      <c r="AC7" s="781" t="s">
        <v>1000</v>
      </c>
      <c r="AD7" s="1043"/>
      <c r="AE7" s="1043"/>
      <c r="AF7" s="658" t="s">
        <v>1001</v>
      </c>
      <c r="AG7" s="658" t="s">
        <v>1002</v>
      </c>
      <c r="AH7" s="658" t="s">
        <v>1003</v>
      </c>
      <c r="AI7" s="658" t="s">
        <v>1004</v>
      </c>
      <c r="AJ7" s="658" t="s">
        <v>1005</v>
      </c>
      <c r="AK7" s="658" t="s">
        <v>1006</v>
      </c>
      <c r="AL7" s="1043"/>
      <c r="AM7" s="1043"/>
      <c r="AN7" s="1043"/>
      <c r="AO7" s="745" t="s">
        <v>1007</v>
      </c>
      <c r="AP7" s="745" t="s">
        <v>1242</v>
      </c>
      <c r="AQ7" s="658" t="s">
        <v>1008</v>
      </c>
      <c r="AR7" s="742" t="s">
        <v>208</v>
      </c>
      <c r="AS7" s="744" t="s">
        <v>1009</v>
      </c>
      <c r="AU7" s="165" t="s">
        <v>13</v>
      </c>
      <c r="AV7" s="166" t="s">
        <v>14</v>
      </c>
      <c r="AW7" s="167" t="s">
        <v>15</v>
      </c>
      <c r="AX7" s="167" t="s">
        <v>16</v>
      </c>
    </row>
    <row r="8" spans="1:50" s="12" customFormat="1" ht="12" customHeight="1">
      <c r="A8" s="351" t="s">
        <v>1010</v>
      </c>
      <c r="B8" s="355" t="s">
        <v>1011</v>
      </c>
      <c r="C8" s="26" t="s">
        <v>1012</v>
      </c>
      <c r="D8" s="43" t="s">
        <v>1013</v>
      </c>
      <c r="E8" s="44" t="s">
        <v>1014</v>
      </c>
      <c r="F8" s="44"/>
      <c r="G8" s="168"/>
      <c r="H8" s="16">
        <v>1</v>
      </c>
      <c r="I8" s="16">
        <v>2</v>
      </c>
      <c r="J8" s="16">
        <v>3</v>
      </c>
      <c r="K8" s="16">
        <v>4</v>
      </c>
      <c r="L8" s="16">
        <v>5</v>
      </c>
      <c r="M8" s="16">
        <v>6</v>
      </c>
      <c r="N8" s="16">
        <v>7</v>
      </c>
      <c r="O8" s="16">
        <v>8</v>
      </c>
      <c r="P8" s="16">
        <v>9</v>
      </c>
      <c r="Q8" s="16">
        <v>10</v>
      </c>
      <c r="R8" s="16">
        <v>11</v>
      </c>
      <c r="S8" s="16">
        <v>12</v>
      </c>
      <c r="T8" s="16">
        <v>13</v>
      </c>
      <c r="U8" s="16">
        <v>14</v>
      </c>
      <c r="V8" s="16">
        <v>15</v>
      </c>
      <c r="W8" s="16">
        <v>16</v>
      </c>
      <c r="X8" s="16">
        <v>17</v>
      </c>
      <c r="Y8" s="16">
        <v>18</v>
      </c>
      <c r="Z8" s="16">
        <v>19</v>
      </c>
      <c r="AA8" s="16">
        <v>20</v>
      </c>
      <c r="AB8" s="16">
        <v>21</v>
      </c>
      <c r="AC8" s="16">
        <v>22</v>
      </c>
      <c r="AD8" s="16">
        <v>23</v>
      </c>
      <c r="AE8" s="16">
        <v>24</v>
      </c>
      <c r="AF8" s="16">
        <v>25</v>
      </c>
      <c r="AG8" s="16">
        <v>26</v>
      </c>
      <c r="AH8" s="16">
        <v>27</v>
      </c>
      <c r="AI8" s="16">
        <v>28</v>
      </c>
      <c r="AJ8" s="16">
        <v>29</v>
      </c>
      <c r="AK8" s="16">
        <v>30</v>
      </c>
      <c r="AL8" s="16">
        <v>31</v>
      </c>
      <c r="AM8" s="16">
        <v>32</v>
      </c>
      <c r="AN8" s="16">
        <v>33</v>
      </c>
      <c r="AO8" s="16">
        <v>34</v>
      </c>
      <c r="AP8" s="16">
        <v>35</v>
      </c>
      <c r="AQ8" s="16">
        <v>36</v>
      </c>
      <c r="AR8" s="16">
        <v>37</v>
      </c>
      <c r="AS8" s="16">
        <v>38</v>
      </c>
      <c r="AU8" s="20">
        <v>47</v>
      </c>
      <c r="AV8" s="20">
        <v>48</v>
      </c>
      <c r="AW8" s="21">
        <v>49</v>
      </c>
      <c r="AX8" s="21">
        <v>50</v>
      </c>
    </row>
    <row r="9" spans="1:50" s="12" customFormat="1" ht="17.25" customHeight="1" thickBot="1">
      <c r="A9" s="1146" t="s">
        <v>1015</v>
      </c>
      <c r="B9" s="1146"/>
      <c r="C9" s="1146"/>
      <c r="D9" s="1146"/>
      <c r="E9" s="1146"/>
      <c r="F9" s="1146"/>
      <c r="G9" s="1146"/>
      <c r="H9" s="1146"/>
      <c r="I9" s="1146"/>
      <c r="J9" s="1146"/>
      <c r="K9" s="1146"/>
      <c r="L9" s="1146"/>
      <c r="M9" s="1146"/>
      <c r="N9" s="1146"/>
      <c r="O9" s="1146"/>
      <c r="P9" s="1146"/>
      <c r="Q9" s="1146"/>
      <c r="R9" s="1146"/>
      <c r="S9" s="1146"/>
      <c r="T9" s="1146"/>
      <c r="U9" s="1146"/>
      <c r="V9" s="1146"/>
      <c r="W9" s="1146"/>
      <c r="X9" s="1146"/>
      <c r="Y9" s="1146"/>
      <c r="Z9" s="1146"/>
      <c r="AA9" s="1146"/>
      <c r="AB9" s="1146"/>
      <c r="AC9" s="1146"/>
      <c r="AD9" s="1146"/>
      <c r="AE9" s="1146"/>
      <c r="AF9" s="1146"/>
      <c r="AG9" s="1146"/>
      <c r="AH9" s="1146"/>
      <c r="AI9" s="1146"/>
      <c r="AJ9" s="1146"/>
      <c r="AK9" s="1146"/>
      <c r="AL9" s="1146"/>
      <c r="AM9" s="1146"/>
      <c r="AN9" s="1146"/>
      <c r="AO9" s="1146"/>
      <c r="AP9" s="1146"/>
      <c r="AQ9" s="1146"/>
      <c r="AR9" s="1146"/>
      <c r="AS9" s="1147"/>
      <c r="AT9" s="159"/>
      <c r="AU9" s="20"/>
      <c r="AV9" s="16"/>
      <c r="AW9" s="21"/>
      <c r="AX9" s="21"/>
    </row>
    <row r="10" spans="1:51" s="6" customFormat="1" ht="13.5" thickBot="1">
      <c r="A10" s="163"/>
      <c r="B10" s="1149">
        <v>5.1</v>
      </c>
      <c r="C10" s="1144" t="s">
        <v>450</v>
      </c>
      <c r="D10" s="28"/>
      <c r="E10" s="28" t="s">
        <v>451</v>
      </c>
      <c r="F10" s="28">
        <v>5.1</v>
      </c>
      <c r="G10" s="28"/>
      <c r="H10" s="144"/>
      <c r="I10" s="178"/>
      <c r="J10" s="178"/>
      <c r="K10" s="170">
        <f>H10*I10*J10</f>
        <v>0</v>
      </c>
      <c r="L10" s="162"/>
      <c r="M10" s="183"/>
      <c r="N10" s="183"/>
      <c r="O10" s="183"/>
      <c r="P10" s="183"/>
      <c r="Q10" s="183"/>
      <c r="R10" s="183"/>
      <c r="S10" s="183"/>
      <c r="T10" s="70">
        <f>(L10*M10*O10)+(L10*M10*N10*P10)+(L10*M10*N10*Q10)+(L10*N10*R10)+(L10*M10*S10)</f>
        <v>0</v>
      </c>
      <c r="U10" s="179"/>
      <c r="V10" s="179"/>
      <c r="W10" s="58">
        <f>U10*V10</f>
        <v>0</v>
      </c>
      <c r="X10" s="179"/>
      <c r="Y10" s="179"/>
      <c r="Z10" s="58">
        <v>286960</v>
      </c>
      <c r="AA10" s="180"/>
      <c r="AB10" s="184"/>
      <c r="AC10" s="58">
        <f>AA10*AB10</f>
        <v>0</v>
      </c>
      <c r="AD10" s="181"/>
      <c r="AE10" s="181"/>
      <c r="AF10" s="649"/>
      <c r="AG10" s="649"/>
      <c r="AH10" s="58"/>
      <c r="AI10" s="649"/>
      <c r="AJ10" s="649"/>
      <c r="AK10" s="58"/>
      <c r="AL10" s="181"/>
      <c r="AM10" s="58">
        <f>K10+T10+W10+Z10+AC10+AH10+AK10+AL10+AD10+AE10</f>
        <v>286960</v>
      </c>
      <c r="AN10" s="76"/>
      <c r="AO10" s="99"/>
      <c r="AP10" s="76"/>
      <c r="AQ10" s="182"/>
      <c r="AR10" s="182">
        <f>AM10</f>
        <v>286960</v>
      </c>
      <c r="AS10" s="172">
        <f>AM10-AN10-AO10-AP10-AQ10-AR10</f>
        <v>0</v>
      </c>
      <c r="AU10" s="364">
        <f>AM10*1</f>
        <v>286960</v>
      </c>
      <c r="AV10" s="364"/>
      <c r="AW10" s="364"/>
      <c r="AX10" s="364"/>
      <c r="AY10" s="365"/>
    </row>
    <row r="11" spans="1:51" s="6" customFormat="1" ht="13.5" thickBot="1">
      <c r="A11" s="163"/>
      <c r="B11" s="1149"/>
      <c r="C11" s="1144"/>
      <c r="D11" s="17"/>
      <c r="E11" s="29" t="s">
        <v>452</v>
      </c>
      <c r="F11" s="29">
        <v>5.1</v>
      </c>
      <c r="G11" s="28"/>
      <c r="H11" s="185">
        <v>81</v>
      </c>
      <c r="I11" s="178">
        <v>680</v>
      </c>
      <c r="J11" s="178">
        <v>24</v>
      </c>
      <c r="K11" s="170">
        <f>I11*J11*H11</f>
        <v>1321920</v>
      </c>
      <c r="L11" s="162"/>
      <c r="M11" s="343"/>
      <c r="N11" s="183"/>
      <c r="O11" s="183"/>
      <c r="P11" s="183"/>
      <c r="Q11" s="183"/>
      <c r="R11" s="183"/>
      <c r="S11" s="183"/>
      <c r="T11" s="70">
        <f aca="true" t="shared" si="0" ref="T11:T34">(L11*M11*O11)+(L11*M11*N11*P11)+(L11*M11*N11*Q11)+(L11*N11*R11)+(L11*M11*S11)</f>
        <v>0</v>
      </c>
      <c r="U11" s="179"/>
      <c r="V11" s="179"/>
      <c r="W11" s="58">
        <f aca="true" t="shared" si="1" ref="W11:W34">U11*V11</f>
        <v>0</v>
      </c>
      <c r="X11" s="179"/>
      <c r="Y11" s="179"/>
      <c r="Z11" s="58">
        <f>121536</f>
        <v>121536</v>
      </c>
      <c r="AA11" s="180"/>
      <c r="AB11" s="180"/>
      <c r="AC11" s="58">
        <v>136728</v>
      </c>
      <c r="AD11" s="181">
        <v>282740</v>
      </c>
      <c r="AE11" s="181">
        <v>317015</v>
      </c>
      <c r="AF11" s="649"/>
      <c r="AG11" s="649"/>
      <c r="AH11" s="58">
        <v>131487</v>
      </c>
      <c r="AI11" s="649"/>
      <c r="AJ11" s="649"/>
      <c r="AK11" s="58">
        <f>(30000*0.844)*2</f>
        <v>50640</v>
      </c>
      <c r="AL11" s="181">
        <f>33760+716850+40934</f>
        <v>791544</v>
      </c>
      <c r="AM11" s="58">
        <f>K11+T11+W11+Z11+AC11+AH11+AK11+AL11+AD11+AE11</f>
        <v>3153610</v>
      </c>
      <c r="AN11" s="186">
        <f>K11+716850</f>
        <v>2038770</v>
      </c>
      <c r="AO11" s="367"/>
      <c r="AP11" s="368"/>
      <c r="AQ11" s="99">
        <v>485722</v>
      </c>
      <c r="AR11" s="182">
        <v>629118</v>
      </c>
      <c r="AS11" s="172">
        <f aca="true" t="shared" si="2" ref="AS11:AS34">AM11-AN11-AO11-AP11-AQ11-AR11</f>
        <v>0</v>
      </c>
      <c r="AU11" s="364">
        <f>K11/2+341357+Z11+AD11+AE11+AH11+AK11</f>
        <v>1905735</v>
      </c>
      <c r="AV11" s="364">
        <f>AM11-AU11</f>
        <v>1247875</v>
      </c>
      <c r="AW11" s="364">
        <v>0.3</v>
      </c>
      <c r="AX11" s="364"/>
      <c r="AY11" s="365"/>
    </row>
    <row r="12" spans="1:51" s="7" customFormat="1" ht="38.25" customHeight="1" thickBot="1">
      <c r="A12" s="163"/>
      <c r="B12" s="1150"/>
      <c r="C12" s="1145"/>
      <c r="D12" s="28"/>
      <c r="E12" s="30" t="s">
        <v>453</v>
      </c>
      <c r="F12" s="30">
        <v>5.1</v>
      </c>
      <c r="G12" s="30"/>
      <c r="H12" s="185">
        <v>271</v>
      </c>
      <c r="I12" s="178">
        <v>650</v>
      </c>
      <c r="J12" s="178">
        <v>12</v>
      </c>
      <c r="K12" s="170">
        <f aca="true" t="shared" si="3" ref="K12:K34">I12*J12*H12</f>
        <v>2113800</v>
      </c>
      <c r="L12" s="139"/>
      <c r="M12" s="140"/>
      <c r="N12" s="79"/>
      <c r="O12" s="79"/>
      <c r="P12" s="79"/>
      <c r="Q12" s="79"/>
      <c r="R12" s="79"/>
      <c r="S12" s="79"/>
      <c r="T12" s="70">
        <f t="shared" si="0"/>
        <v>0</v>
      </c>
      <c r="U12" s="79"/>
      <c r="V12" s="79"/>
      <c r="W12" s="58">
        <f t="shared" si="1"/>
        <v>0</v>
      </c>
      <c r="X12" s="79"/>
      <c r="Y12" s="79"/>
      <c r="Z12" s="58">
        <f>X12*Y12</f>
        <v>0</v>
      </c>
      <c r="AA12" s="80"/>
      <c r="AB12" s="80"/>
      <c r="AC12" s="58">
        <f aca="true" t="shared" si="4" ref="AC12:AC34">AA12*AB12</f>
        <v>0</v>
      </c>
      <c r="AD12" s="652">
        <f>18000000</f>
        <v>18000000</v>
      </c>
      <c r="AE12" s="81"/>
      <c r="AF12" s="650"/>
      <c r="AG12" s="650"/>
      <c r="AH12" s="58">
        <f>AF12*AG12</f>
        <v>0</v>
      </c>
      <c r="AI12" s="650"/>
      <c r="AJ12" s="650"/>
      <c r="AK12" s="58">
        <f>AI12*AJ12</f>
        <v>0</v>
      </c>
      <c r="AL12" s="188">
        <v>2250800</v>
      </c>
      <c r="AM12" s="58">
        <f aca="true" t="shared" si="5" ref="AM12:AM34">K12+T12+W12+Z12+AC12+AH12+AK12+AL12+AD12+AE12</f>
        <v>22364600</v>
      </c>
      <c r="AN12" s="189">
        <f>K12+3000000+AL12</f>
        <v>7364600</v>
      </c>
      <c r="AO12" s="189"/>
      <c r="AP12" s="369"/>
      <c r="AQ12" s="189">
        <f>AM12-AN12</f>
        <v>15000000</v>
      </c>
      <c r="AR12" s="190"/>
      <c r="AS12" s="172">
        <f t="shared" si="2"/>
        <v>0</v>
      </c>
      <c r="AU12" s="364">
        <f>AD12*0.02</f>
        <v>360000</v>
      </c>
      <c r="AV12" s="364">
        <f>AD12*0.58</f>
        <v>10440000</v>
      </c>
      <c r="AW12" s="364">
        <f>AL12+K12+AD12*0.4</f>
        <v>11564600</v>
      </c>
      <c r="AX12" s="364"/>
      <c r="AY12" s="365"/>
    </row>
    <row r="13" spans="1:51" s="7" customFormat="1" ht="75.75" customHeight="1" thickBot="1">
      <c r="A13" s="672"/>
      <c r="B13" s="682">
        <v>5.2</v>
      </c>
      <c r="C13" s="30" t="s">
        <v>1016</v>
      </c>
      <c r="D13" s="682"/>
      <c r="E13" s="30" t="s">
        <v>454</v>
      </c>
      <c r="F13" s="30" t="s">
        <v>456</v>
      </c>
      <c r="G13" s="28"/>
      <c r="H13" s="185"/>
      <c r="I13" s="178"/>
      <c r="J13" s="178"/>
      <c r="K13" s="170"/>
      <c r="L13" s="162"/>
      <c r="M13" s="183"/>
      <c r="N13" s="673"/>
      <c r="O13" s="673"/>
      <c r="P13" s="673"/>
      <c r="Q13" s="673"/>
      <c r="R13" s="673"/>
      <c r="S13" s="673"/>
      <c r="T13" s="88"/>
      <c r="U13" s="673"/>
      <c r="V13" s="673"/>
      <c r="W13" s="58"/>
      <c r="X13" s="673"/>
      <c r="Y13" s="673"/>
      <c r="Z13" s="58"/>
      <c r="AA13" s="674"/>
      <c r="AB13" s="674"/>
      <c r="AC13" s="58"/>
      <c r="AD13" s="675"/>
      <c r="AE13" s="676"/>
      <c r="AF13" s="677"/>
      <c r="AG13" s="677"/>
      <c r="AH13" s="58"/>
      <c r="AI13" s="677"/>
      <c r="AJ13" s="677"/>
      <c r="AK13" s="58"/>
      <c r="AL13" s="678"/>
      <c r="AM13" s="58"/>
      <c r="AN13" s="679" t="s">
        <v>1017</v>
      </c>
      <c r="AO13" s="679"/>
      <c r="AP13" s="369"/>
      <c r="AQ13" s="679"/>
      <c r="AR13" s="190"/>
      <c r="AS13" s="680"/>
      <c r="AU13" s="681"/>
      <c r="AV13" s="681"/>
      <c r="AW13" s="681"/>
      <c r="AX13" s="681"/>
      <c r="AY13" s="365"/>
    </row>
    <row r="14" spans="1:51" s="152" customFormat="1" ht="18" customHeight="1">
      <c r="A14" s="463"/>
      <c r="B14" s="463"/>
      <c r="C14" s="464"/>
      <c r="D14" s="463"/>
      <c r="E14" s="464"/>
      <c r="F14" s="463"/>
      <c r="G14" s="465"/>
      <c r="H14" s="466"/>
      <c r="I14" s="466"/>
      <c r="J14" s="466"/>
      <c r="K14" s="458">
        <f aca="true" t="shared" si="6" ref="K14:AX14">SUM(K10:K12)</f>
        <v>3435720</v>
      </c>
      <c r="L14" s="458">
        <f t="shared" si="6"/>
        <v>0</v>
      </c>
      <c r="M14" s="458">
        <f t="shared" si="6"/>
        <v>0</v>
      </c>
      <c r="N14" s="458">
        <f t="shared" si="6"/>
        <v>0</v>
      </c>
      <c r="O14" s="458">
        <f t="shared" si="6"/>
        <v>0</v>
      </c>
      <c r="P14" s="458">
        <f t="shared" si="6"/>
        <v>0</v>
      </c>
      <c r="Q14" s="458">
        <f t="shared" si="6"/>
        <v>0</v>
      </c>
      <c r="R14" s="458">
        <f t="shared" si="6"/>
        <v>0</v>
      </c>
      <c r="S14" s="458">
        <f t="shared" si="6"/>
        <v>0</v>
      </c>
      <c r="T14" s="458">
        <f t="shared" si="6"/>
        <v>0</v>
      </c>
      <c r="U14" s="458">
        <f t="shared" si="6"/>
        <v>0</v>
      </c>
      <c r="V14" s="458">
        <f t="shared" si="6"/>
        <v>0</v>
      </c>
      <c r="W14" s="458">
        <f t="shared" si="6"/>
        <v>0</v>
      </c>
      <c r="X14" s="458">
        <f t="shared" si="6"/>
        <v>0</v>
      </c>
      <c r="Y14" s="458">
        <f t="shared" si="6"/>
        <v>0</v>
      </c>
      <c r="Z14" s="458">
        <f t="shared" si="6"/>
        <v>408496</v>
      </c>
      <c r="AA14" s="458">
        <f t="shared" si="6"/>
        <v>0</v>
      </c>
      <c r="AB14" s="458">
        <f t="shared" si="6"/>
        <v>0</v>
      </c>
      <c r="AC14" s="458">
        <f t="shared" si="6"/>
        <v>136728</v>
      </c>
      <c r="AD14" s="458">
        <f t="shared" si="6"/>
        <v>18282740</v>
      </c>
      <c r="AE14" s="458">
        <f t="shared" si="6"/>
        <v>317015</v>
      </c>
      <c r="AF14" s="458">
        <f t="shared" si="6"/>
        <v>0</v>
      </c>
      <c r="AG14" s="458">
        <f t="shared" si="6"/>
        <v>0</v>
      </c>
      <c r="AH14" s="458">
        <f t="shared" si="6"/>
        <v>131487</v>
      </c>
      <c r="AI14" s="458">
        <f t="shared" si="6"/>
        <v>0</v>
      </c>
      <c r="AJ14" s="458">
        <f t="shared" si="6"/>
        <v>0</v>
      </c>
      <c r="AK14" s="458">
        <f t="shared" si="6"/>
        <v>50640</v>
      </c>
      <c r="AL14" s="458">
        <f t="shared" si="6"/>
        <v>3042344</v>
      </c>
      <c r="AM14" s="458">
        <f t="shared" si="6"/>
        <v>25805170</v>
      </c>
      <c r="AN14" s="458">
        <f t="shared" si="6"/>
        <v>9403370</v>
      </c>
      <c r="AO14" s="458">
        <f t="shared" si="6"/>
        <v>0</v>
      </c>
      <c r="AP14" s="458">
        <f t="shared" si="6"/>
        <v>0</v>
      </c>
      <c r="AQ14" s="458">
        <f t="shared" si="6"/>
        <v>15485722</v>
      </c>
      <c r="AR14" s="458">
        <f t="shared" si="6"/>
        <v>916078</v>
      </c>
      <c r="AS14" s="458">
        <f t="shared" si="6"/>
        <v>0</v>
      </c>
      <c r="AT14" s="458">
        <f t="shared" si="6"/>
        <v>0</v>
      </c>
      <c r="AU14" s="458">
        <f t="shared" si="6"/>
        <v>2552695</v>
      </c>
      <c r="AV14" s="458">
        <f t="shared" si="6"/>
        <v>11687875</v>
      </c>
      <c r="AW14" s="458">
        <f t="shared" si="6"/>
        <v>11564600.3</v>
      </c>
      <c r="AX14" s="458">
        <f t="shared" si="6"/>
        <v>0</v>
      </c>
      <c r="AY14" s="365"/>
    </row>
    <row r="15" spans="1:51" s="12" customFormat="1" ht="18.75" customHeight="1" thickBot="1">
      <c r="A15" s="159"/>
      <c r="B15" s="1146" t="s">
        <v>1018</v>
      </c>
      <c r="C15" s="1146"/>
      <c r="D15" s="1146"/>
      <c r="E15" s="1146"/>
      <c r="F15" s="1146"/>
      <c r="G15" s="1146"/>
      <c r="H15" s="1146"/>
      <c r="I15" s="1146"/>
      <c r="J15" s="1146"/>
      <c r="K15" s="1146"/>
      <c r="L15" s="1146"/>
      <c r="M15" s="1146"/>
      <c r="N15" s="1146"/>
      <c r="O15" s="1146"/>
      <c r="P15" s="1146"/>
      <c r="Q15" s="1146"/>
      <c r="R15" s="1146"/>
      <c r="S15" s="1146"/>
      <c r="T15" s="1146"/>
      <c r="U15" s="1146"/>
      <c r="V15" s="1146"/>
      <c r="W15" s="1146"/>
      <c r="X15" s="1146"/>
      <c r="Y15" s="1146"/>
      <c r="Z15" s="1146"/>
      <c r="AA15" s="1146"/>
      <c r="AB15" s="1146"/>
      <c r="AC15" s="1146"/>
      <c r="AD15" s="1146"/>
      <c r="AE15" s="1146"/>
      <c r="AF15" s="1146"/>
      <c r="AG15" s="1146"/>
      <c r="AH15" s="1146"/>
      <c r="AI15" s="1146"/>
      <c r="AJ15" s="1146"/>
      <c r="AK15" s="1146"/>
      <c r="AL15" s="1146"/>
      <c r="AM15" s="1146"/>
      <c r="AN15" s="1146"/>
      <c r="AO15" s="1146"/>
      <c r="AP15" s="1146"/>
      <c r="AQ15" s="1146"/>
      <c r="AR15" s="1146"/>
      <c r="AS15" s="1147"/>
      <c r="AT15" s="159"/>
      <c r="AU15" s="460"/>
      <c r="AV15" s="461"/>
      <c r="AW15" s="462"/>
      <c r="AX15" s="462"/>
      <c r="AY15" s="365"/>
    </row>
    <row r="16" spans="1:51" s="5" customFormat="1" ht="51.75" customHeight="1" thickBot="1">
      <c r="A16" s="203">
        <v>1</v>
      </c>
      <c r="B16" s="207">
        <v>8.1</v>
      </c>
      <c r="C16" s="1148" t="s">
        <v>460</v>
      </c>
      <c r="D16" s="17" t="s">
        <v>1019</v>
      </c>
      <c r="E16" s="17" t="s">
        <v>458</v>
      </c>
      <c r="F16" s="17">
        <v>8.1</v>
      </c>
      <c r="G16" s="17"/>
      <c r="H16" s="37"/>
      <c r="I16" s="2"/>
      <c r="J16" s="2"/>
      <c r="K16" s="170">
        <f t="shared" si="3"/>
        <v>0</v>
      </c>
      <c r="L16" s="8"/>
      <c r="M16" s="8"/>
      <c r="N16" s="8"/>
      <c r="O16" s="8"/>
      <c r="P16" s="8"/>
      <c r="Q16" s="8"/>
      <c r="R16" s="8"/>
      <c r="S16" s="8"/>
      <c r="T16" s="70">
        <f t="shared" si="0"/>
        <v>0</v>
      </c>
      <c r="U16" s="39">
        <v>4500</v>
      </c>
      <c r="V16" s="39">
        <v>350</v>
      </c>
      <c r="W16" s="58">
        <f t="shared" si="1"/>
        <v>1575000</v>
      </c>
      <c r="X16" s="39">
        <v>3000</v>
      </c>
      <c r="Y16" s="39">
        <v>1250</v>
      </c>
      <c r="Z16" s="58">
        <f aca="true" t="shared" si="7" ref="Z16:Z34">X16*Y16</f>
        <v>3750000</v>
      </c>
      <c r="AA16" s="42"/>
      <c r="AB16" s="42"/>
      <c r="AC16" s="58">
        <f t="shared" si="4"/>
        <v>0</v>
      </c>
      <c r="AD16" s="58"/>
      <c r="AE16" s="58"/>
      <c r="AF16" s="651"/>
      <c r="AG16" s="651"/>
      <c r="AH16" s="58">
        <f>AF16*AG16</f>
        <v>0</v>
      </c>
      <c r="AI16" s="651"/>
      <c r="AJ16" s="651"/>
      <c r="AK16" s="58">
        <f>AI16*AJ16</f>
        <v>0</v>
      </c>
      <c r="AL16" s="58">
        <v>500000</v>
      </c>
      <c r="AM16" s="58">
        <f t="shared" si="5"/>
        <v>5825000</v>
      </c>
      <c r="AN16" s="76">
        <f>AM16*25.93%</f>
        <v>1510422.4999999998</v>
      </c>
      <c r="AO16" s="76"/>
      <c r="AP16" s="76"/>
      <c r="AQ16" s="171"/>
      <c r="AR16" s="171"/>
      <c r="AS16" s="172">
        <f t="shared" si="2"/>
        <v>4314577.5</v>
      </c>
      <c r="AU16" s="173">
        <f>AM16*0.5</f>
        <v>2912500</v>
      </c>
      <c r="AV16" s="174">
        <f>AM16*0.5</f>
        <v>2912500</v>
      </c>
      <c r="AW16" s="175"/>
      <c r="AX16" s="175"/>
      <c r="AY16" s="365"/>
    </row>
    <row r="17" spans="1:51" s="6" customFormat="1" ht="13.5" thickBot="1">
      <c r="A17" s="163"/>
      <c r="B17" s="207"/>
      <c r="C17" s="1148"/>
      <c r="D17" s="28" t="s">
        <v>1020</v>
      </c>
      <c r="E17" s="28" t="s">
        <v>459</v>
      </c>
      <c r="F17" s="28">
        <v>8.1</v>
      </c>
      <c r="G17" s="28"/>
      <c r="H17" s="144"/>
      <c r="I17" s="178"/>
      <c r="J17" s="178"/>
      <c r="K17" s="170">
        <f t="shared" si="3"/>
        <v>0</v>
      </c>
      <c r="L17" s="8"/>
      <c r="M17" s="8"/>
      <c r="N17" s="8"/>
      <c r="O17" s="8"/>
      <c r="P17" s="8"/>
      <c r="Q17" s="8"/>
      <c r="R17" s="8"/>
      <c r="S17" s="8"/>
      <c r="T17" s="70">
        <f t="shared" si="0"/>
        <v>0</v>
      </c>
      <c r="U17" s="179">
        <v>300</v>
      </c>
      <c r="V17" s="39">
        <v>350</v>
      </c>
      <c r="W17" s="58">
        <f t="shared" si="1"/>
        <v>105000</v>
      </c>
      <c r="X17" s="179">
        <v>250</v>
      </c>
      <c r="Y17" s="39">
        <v>1250</v>
      </c>
      <c r="Z17" s="58">
        <f t="shared" si="7"/>
        <v>312500</v>
      </c>
      <c r="AA17" s="180"/>
      <c r="AB17" s="180"/>
      <c r="AC17" s="58">
        <f t="shared" si="4"/>
        <v>0</v>
      </c>
      <c r="AD17" s="181"/>
      <c r="AE17" s="181"/>
      <c r="AF17" s="649"/>
      <c r="AG17" s="649"/>
      <c r="AH17" s="58">
        <f>AF17*AG17</f>
        <v>0</v>
      </c>
      <c r="AI17" s="649"/>
      <c r="AJ17" s="649"/>
      <c r="AK17" s="58">
        <f>AI17*AJ17</f>
        <v>0</v>
      </c>
      <c r="AL17" s="181">
        <v>20000</v>
      </c>
      <c r="AM17" s="58">
        <f t="shared" si="5"/>
        <v>437500</v>
      </c>
      <c r="AN17" s="76">
        <f>AM17*25.93%</f>
        <v>113443.74999999999</v>
      </c>
      <c r="AO17" s="99"/>
      <c r="AP17" s="99"/>
      <c r="AQ17" s="182"/>
      <c r="AR17" s="182"/>
      <c r="AS17" s="172">
        <f t="shared" si="2"/>
        <v>324056.25</v>
      </c>
      <c r="AU17" s="173"/>
      <c r="AV17" s="174">
        <f>AM17*0.6</f>
        <v>262500</v>
      </c>
      <c r="AW17" s="175">
        <f>AM17*0.4</f>
        <v>175000</v>
      </c>
      <c r="AX17" s="175"/>
      <c r="AY17" s="365"/>
    </row>
    <row r="18" spans="1:51" s="5" customFormat="1" ht="39" thickBot="1">
      <c r="A18" s="163"/>
      <c r="B18" s="207">
        <v>8.2</v>
      </c>
      <c r="C18" s="206" t="s">
        <v>1021</v>
      </c>
      <c r="D18" s="17" t="s">
        <v>1022</v>
      </c>
      <c r="E18" s="17" t="s">
        <v>462</v>
      </c>
      <c r="F18" s="176" t="s">
        <v>110</v>
      </c>
      <c r="G18" s="17"/>
      <c r="H18" s="37"/>
      <c r="I18" s="2"/>
      <c r="J18" s="2"/>
      <c r="K18" s="170"/>
      <c r="L18" s="8"/>
      <c r="M18" s="8"/>
      <c r="N18" s="8"/>
      <c r="O18" s="8"/>
      <c r="P18" s="8"/>
      <c r="Q18" s="8"/>
      <c r="R18" s="8"/>
      <c r="S18" s="8"/>
      <c r="T18" s="70">
        <f t="shared" si="0"/>
        <v>0</v>
      </c>
      <c r="U18" s="39"/>
      <c r="V18" s="39"/>
      <c r="W18" s="58">
        <v>350000</v>
      </c>
      <c r="X18" s="39"/>
      <c r="Y18" s="39"/>
      <c r="Z18" s="58">
        <v>1000000</v>
      </c>
      <c r="AA18" s="42"/>
      <c r="AB18" s="42"/>
      <c r="AC18" s="58">
        <f t="shared" si="4"/>
        <v>0</v>
      </c>
      <c r="AD18" s="58"/>
      <c r="AE18" s="58"/>
      <c r="AF18" s="651"/>
      <c r="AG18" s="651"/>
      <c r="AH18" s="58"/>
      <c r="AI18" s="651"/>
      <c r="AJ18" s="651"/>
      <c r="AK18" s="58"/>
      <c r="AL18" s="58"/>
      <c r="AM18" s="58">
        <f t="shared" si="5"/>
        <v>1350000</v>
      </c>
      <c r="AN18" s="76">
        <f>1000000*(0.2+0.15)</f>
        <v>350000</v>
      </c>
      <c r="AO18" s="177"/>
      <c r="AQ18" s="76">
        <v>1000000</v>
      </c>
      <c r="AR18" s="171"/>
      <c r="AS18" s="172">
        <f t="shared" si="2"/>
        <v>0</v>
      </c>
      <c r="AU18" s="173">
        <f>AM18*0.7</f>
        <v>944999.9999999999</v>
      </c>
      <c r="AV18" s="174">
        <f>AM18*0.3</f>
        <v>405000</v>
      </c>
      <c r="AW18" s="175"/>
      <c r="AX18" s="175"/>
      <c r="AY18" s="365"/>
    </row>
    <row r="19" spans="1:51" s="6" customFormat="1" ht="39.75" customHeight="1" thickBot="1">
      <c r="A19" s="163"/>
      <c r="B19" s="207">
        <v>8.3</v>
      </c>
      <c r="C19" s="206" t="s">
        <v>1023</v>
      </c>
      <c r="D19" s="17" t="s">
        <v>1024</v>
      </c>
      <c r="E19" s="17" t="s">
        <v>463</v>
      </c>
      <c r="F19" s="17" t="s">
        <v>111</v>
      </c>
      <c r="G19" s="17"/>
      <c r="H19" s="37"/>
      <c r="I19" s="2"/>
      <c r="J19" s="2"/>
      <c r="K19" s="170">
        <f t="shared" si="3"/>
        <v>0</v>
      </c>
      <c r="L19" s="8"/>
      <c r="M19" s="8"/>
      <c r="N19" s="8"/>
      <c r="O19" s="8"/>
      <c r="P19" s="8"/>
      <c r="Q19" s="8"/>
      <c r="R19" s="8"/>
      <c r="S19" s="8"/>
      <c r="T19" s="70">
        <f t="shared" si="0"/>
        <v>0</v>
      </c>
      <c r="U19" s="39">
        <f>15*50</f>
        <v>750</v>
      </c>
      <c r="V19" s="39">
        <v>350</v>
      </c>
      <c r="W19" s="58">
        <f t="shared" si="1"/>
        <v>262500</v>
      </c>
      <c r="X19" s="39">
        <f>15*45</f>
        <v>675</v>
      </c>
      <c r="Y19" s="39">
        <v>1250</v>
      </c>
      <c r="Z19" s="58">
        <f t="shared" si="7"/>
        <v>843750</v>
      </c>
      <c r="AA19" s="42"/>
      <c r="AB19" s="42"/>
      <c r="AC19" s="58">
        <f t="shared" si="4"/>
        <v>0</v>
      </c>
      <c r="AD19" s="58"/>
      <c r="AE19" s="58"/>
      <c r="AF19" s="651"/>
      <c r="AG19" s="651"/>
      <c r="AH19" s="58">
        <f>AF19*AG19</f>
        <v>0</v>
      </c>
      <c r="AI19" s="651"/>
      <c r="AJ19" s="651"/>
      <c r="AK19" s="58">
        <f aca="true" t="shared" si="8" ref="AK19:AK27">AI19*AJ19</f>
        <v>0</v>
      </c>
      <c r="AL19" s="58">
        <v>100000</v>
      </c>
      <c r="AM19" s="58">
        <f t="shared" si="5"/>
        <v>1206250</v>
      </c>
      <c r="AN19" s="76">
        <f>AM19*25.93%</f>
        <v>312780.62499999994</v>
      </c>
      <c r="AO19" s="76">
        <v>25992</v>
      </c>
      <c r="AP19" s="76"/>
      <c r="AQ19" s="171"/>
      <c r="AR19" s="171"/>
      <c r="AS19" s="172">
        <f t="shared" si="2"/>
        <v>867477.375</v>
      </c>
      <c r="AU19" s="173"/>
      <c r="AV19" s="174">
        <f>AM19*0.7</f>
        <v>844375</v>
      </c>
      <c r="AW19" s="175">
        <f>AM19*0.3</f>
        <v>361875</v>
      </c>
      <c r="AX19" s="175"/>
      <c r="AY19" s="365"/>
    </row>
    <row r="20" spans="1:51" s="7" customFormat="1" ht="26.25" customHeight="1" thickBot="1">
      <c r="A20" s="163"/>
      <c r="B20" s="1153">
        <v>8.4</v>
      </c>
      <c r="C20" s="1148" t="s">
        <v>465</v>
      </c>
      <c r="D20" s="18" t="s">
        <v>1025</v>
      </c>
      <c r="E20" s="19" t="s">
        <v>466</v>
      </c>
      <c r="F20" s="19">
        <v>8.4</v>
      </c>
      <c r="G20" s="19"/>
      <c r="H20" s="130"/>
      <c r="I20" s="131"/>
      <c r="J20" s="131"/>
      <c r="K20" s="170">
        <f t="shared" si="3"/>
        <v>0</v>
      </c>
      <c r="L20" s="133"/>
      <c r="M20" s="133"/>
      <c r="N20" s="133"/>
      <c r="O20" s="133"/>
      <c r="P20" s="133"/>
      <c r="Q20" s="133"/>
      <c r="R20" s="133"/>
      <c r="S20" s="133"/>
      <c r="T20" s="70">
        <f t="shared" si="0"/>
        <v>0</v>
      </c>
      <c r="U20" s="71"/>
      <c r="V20" s="71"/>
      <c r="W20" s="58">
        <f t="shared" si="1"/>
        <v>0</v>
      </c>
      <c r="X20" s="71"/>
      <c r="Y20" s="71"/>
      <c r="Z20" s="58">
        <f t="shared" si="7"/>
        <v>0</v>
      </c>
      <c r="AA20" s="72"/>
      <c r="AB20" s="72"/>
      <c r="AC20" s="58">
        <f t="shared" si="4"/>
        <v>0</v>
      </c>
      <c r="AD20" s="70"/>
      <c r="AE20" s="70"/>
      <c r="AF20" s="91"/>
      <c r="AG20" s="91"/>
      <c r="AH20" s="58">
        <v>241152</v>
      </c>
      <c r="AI20" s="91"/>
      <c r="AJ20" s="91"/>
      <c r="AK20" s="58">
        <f t="shared" si="8"/>
        <v>0</v>
      </c>
      <c r="AL20" s="70"/>
      <c r="AM20" s="58">
        <f t="shared" si="5"/>
        <v>241152</v>
      </c>
      <c r="AN20" s="73">
        <f>AM20*14.81%</f>
        <v>35714.6112</v>
      </c>
      <c r="AO20" s="73"/>
      <c r="AP20" s="73"/>
      <c r="AQ20" s="191"/>
      <c r="AR20" s="191"/>
      <c r="AS20" s="172">
        <f t="shared" si="2"/>
        <v>205437.38880000002</v>
      </c>
      <c r="AU20" s="173">
        <f>AM20*1</f>
        <v>241152</v>
      </c>
      <c r="AV20" s="174"/>
      <c r="AW20" s="175"/>
      <c r="AX20" s="175"/>
      <c r="AY20" s="365"/>
    </row>
    <row r="21" spans="1:51" s="7" customFormat="1" ht="26.25" thickBot="1">
      <c r="A21" s="163"/>
      <c r="B21" s="1153"/>
      <c r="C21" s="1148"/>
      <c r="D21" s="17" t="s">
        <v>1026</v>
      </c>
      <c r="E21" s="17" t="s">
        <v>467</v>
      </c>
      <c r="F21" s="17">
        <v>8.4</v>
      </c>
      <c r="G21" s="17"/>
      <c r="H21" s="37"/>
      <c r="I21" s="2"/>
      <c r="J21" s="2"/>
      <c r="K21" s="170">
        <f t="shared" si="3"/>
        <v>0</v>
      </c>
      <c r="L21" s="8"/>
      <c r="M21" s="8"/>
      <c r="N21" s="8"/>
      <c r="O21" s="8"/>
      <c r="P21" s="8"/>
      <c r="Q21" s="8"/>
      <c r="R21" s="8"/>
      <c r="S21" s="8"/>
      <c r="T21" s="70">
        <f t="shared" si="0"/>
        <v>0</v>
      </c>
      <c r="U21" s="39">
        <f>350*2.5</f>
        <v>875</v>
      </c>
      <c r="V21" s="39">
        <v>350</v>
      </c>
      <c r="W21" s="58">
        <f t="shared" si="1"/>
        <v>306250</v>
      </c>
      <c r="X21" s="39">
        <v>150</v>
      </c>
      <c r="Y21" s="39">
        <v>1250</v>
      </c>
      <c r="Z21" s="58">
        <f t="shared" si="7"/>
        <v>187500</v>
      </c>
      <c r="AA21" s="42"/>
      <c r="AB21" s="42"/>
      <c r="AC21" s="58">
        <f t="shared" si="4"/>
        <v>0</v>
      </c>
      <c r="AD21" s="58"/>
      <c r="AE21" s="58"/>
      <c r="AF21" s="651"/>
      <c r="AG21" s="651"/>
      <c r="AH21" s="58">
        <f aca="true" t="shared" si="9" ref="AH21:AH27">AF21*AG21</f>
        <v>0</v>
      </c>
      <c r="AI21" s="651"/>
      <c r="AJ21" s="651"/>
      <c r="AK21" s="58">
        <f t="shared" si="8"/>
        <v>0</v>
      </c>
      <c r="AL21" s="58">
        <v>90000</v>
      </c>
      <c r="AM21" s="58">
        <f t="shared" si="5"/>
        <v>583750</v>
      </c>
      <c r="AN21" s="73"/>
      <c r="AO21" s="76"/>
      <c r="AQ21" s="196">
        <f>AM21</f>
        <v>583750</v>
      </c>
      <c r="AR21" s="197"/>
      <c r="AS21" s="172">
        <f t="shared" si="2"/>
        <v>0</v>
      </c>
      <c r="AU21" s="173">
        <f>AM21*1</f>
        <v>583750</v>
      </c>
      <c r="AV21" s="174"/>
      <c r="AW21" s="175"/>
      <c r="AX21" s="175"/>
      <c r="AY21" s="365"/>
    </row>
    <row r="22" spans="1:51" s="6" customFormat="1" ht="39" thickBot="1">
      <c r="A22" s="163"/>
      <c r="B22" s="207">
        <v>8.5</v>
      </c>
      <c r="C22" s="206" t="s">
        <v>1180</v>
      </c>
      <c r="D22" s="17">
        <v>1.4</v>
      </c>
      <c r="E22" s="28" t="s">
        <v>468</v>
      </c>
      <c r="F22" s="28">
        <v>8.5</v>
      </c>
      <c r="G22" s="28"/>
      <c r="H22" s="144"/>
      <c r="I22" s="178"/>
      <c r="J22" s="178"/>
      <c r="K22" s="170">
        <f t="shared" si="3"/>
        <v>0</v>
      </c>
      <c r="L22" s="162"/>
      <c r="M22" s="183"/>
      <c r="N22" s="183"/>
      <c r="O22" s="183"/>
      <c r="P22" s="183"/>
      <c r="Q22" s="183"/>
      <c r="R22" s="183"/>
      <c r="S22" s="183"/>
      <c r="T22" s="70">
        <f t="shared" si="0"/>
        <v>0</v>
      </c>
      <c r="U22" s="179"/>
      <c r="V22" s="179"/>
      <c r="W22" s="58">
        <v>150000</v>
      </c>
      <c r="X22" s="179"/>
      <c r="Y22" s="179"/>
      <c r="Z22" s="58">
        <f t="shared" si="7"/>
        <v>0</v>
      </c>
      <c r="AA22" s="180"/>
      <c r="AB22" s="184"/>
      <c r="AC22" s="58">
        <f t="shared" si="4"/>
        <v>0</v>
      </c>
      <c r="AD22" s="181"/>
      <c r="AE22" s="181"/>
      <c r="AF22" s="649"/>
      <c r="AG22" s="649"/>
      <c r="AH22" s="58">
        <f t="shared" si="9"/>
        <v>0</v>
      </c>
      <c r="AI22" s="649"/>
      <c r="AJ22" s="649"/>
      <c r="AK22" s="58">
        <f t="shared" si="8"/>
        <v>0</v>
      </c>
      <c r="AL22" s="181"/>
      <c r="AM22" s="58">
        <f t="shared" si="5"/>
        <v>150000</v>
      </c>
      <c r="AN22" s="76"/>
      <c r="AO22" s="99">
        <f>AM22</f>
        <v>150000</v>
      </c>
      <c r="AP22" s="99"/>
      <c r="AQ22" s="182"/>
      <c r="AR22" s="182"/>
      <c r="AS22" s="172">
        <f t="shared" si="2"/>
        <v>0</v>
      </c>
      <c r="AU22" s="173">
        <f>AM22*1</f>
        <v>150000</v>
      </c>
      <c r="AV22" s="174"/>
      <c r="AW22" s="175"/>
      <c r="AX22" s="175"/>
      <c r="AY22" s="365"/>
    </row>
    <row r="23" spans="1:50" s="7" customFormat="1" ht="13.5" thickBot="1">
      <c r="A23" s="163"/>
      <c r="B23" s="1154">
        <v>8.6</v>
      </c>
      <c r="C23" s="1156" t="s">
        <v>1027</v>
      </c>
      <c r="D23" s="17" t="s">
        <v>1028</v>
      </c>
      <c r="E23" s="28" t="s">
        <v>469</v>
      </c>
      <c r="F23" s="28">
        <v>8.6</v>
      </c>
      <c r="G23" s="17"/>
      <c r="H23" s="144"/>
      <c r="I23" s="178"/>
      <c r="J23" s="178"/>
      <c r="K23" s="170">
        <f t="shared" si="3"/>
        <v>0</v>
      </c>
      <c r="L23" s="162"/>
      <c r="M23" s="183"/>
      <c r="N23" s="183"/>
      <c r="O23" s="183"/>
      <c r="P23" s="183"/>
      <c r="Q23" s="183"/>
      <c r="R23" s="183"/>
      <c r="S23" s="183"/>
      <c r="T23" s="70">
        <f t="shared" si="0"/>
        <v>0</v>
      </c>
      <c r="U23" s="179">
        <f>350*2.5</f>
        <v>875</v>
      </c>
      <c r="V23" s="39">
        <v>350</v>
      </c>
      <c r="W23" s="58">
        <f t="shared" si="1"/>
        <v>306250</v>
      </c>
      <c r="X23" s="179">
        <f>300*2</f>
        <v>600</v>
      </c>
      <c r="Y23" s="39">
        <v>1250</v>
      </c>
      <c r="Z23" s="58">
        <f t="shared" si="7"/>
        <v>750000</v>
      </c>
      <c r="AA23" s="180"/>
      <c r="AB23" s="180"/>
      <c r="AC23" s="58">
        <f t="shared" si="4"/>
        <v>0</v>
      </c>
      <c r="AD23" s="181"/>
      <c r="AE23" s="181"/>
      <c r="AF23" s="649"/>
      <c r="AG23" s="649"/>
      <c r="AH23" s="58">
        <f t="shared" si="9"/>
        <v>0</v>
      </c>
      <c r="AI23" s="649"/>
      <c r="AJ23" s="649"/>
      <c r="AK23" s="58">
        <f t="shared" si="8"/>
        <v>0</v>
      </c>
      <c r="AL23" s="181">
        <v>40000</v>
      </c>
      <c r="AM23" s="58">
        <f t="shared" si="5"/>
        <v>1096250</v>
      </c>
      <c r="AN23" s="73"/>
      <c r="AO23" s="99">
        <f>AM23</f>
        <v>1096250</v>
      </c>
      <c r="AP23" s="99"/>
      <c r="AQ23" s="182"/>
      <c r="AR23" s="182"/>
      <c r="AS23" s="172">
        <f t="shared" si="2"/>
        <v>0</v>
      </c>
      <c r="AU23" s="173">
        <f>AM23*1</f>
        <v>1096250</v>
      </c>
      <c r="AV23" s="174"/>
      <c r="AW23" s="175"/>
      <c r="AX23" s="175"/>
    </row>
    <row r="24" spans="1:50" s="7" customFormat="1" ht="13.5" thickBot="1">
      <c r="A24" s="163"/>
      <c r="B24" s="1154"/>
      <c r="C24" s="1156"/>
      <c r="D24" s="17" t="s">
        <v>42</v>
      </c>
      <c r="E24" s="28" t="s">
        <v>470</v>
      </c>
      <c r="F24" s="28">
        <v>8.6</v>
      </c>
      <c r="G24" s="17" t="s">
        <v>1029</v>
      </c>
      <c r="H24" s="144"/>
      <c r="I24" s="178"/>
      <c r="J24" s="178"/>
      <c r="K24" s="170">
        <f t="shared" si="3"/>
        <v>0</v>
      </c>
      <c r="L24" s="162"/>
      <c r="M24" s="183"/>
      <c r="N24" s="183"/>
      <c r="O24" s="183"/>
      <c r="P24" s="183"/>
      <c r="Q24" s="183"/>
      <c r="R24" s="183"/>
      <c r="S24" s="183"/>
      <c r="T24" s="70">
        <f t="shared" si="0"/>
        <v>0</v>
      </c>
      <c r="U24" s="179"/>
      <c r="V24" s="179"/>
      <c r="W24" s="58">
        <f t="shared" si="1"/>
        <v>0</v>
      </c>
      <c r="X24" s="179"/>
      <c r="Y24" s="179"/>
      <c r="Z24" s="58">
        <f t="shared" si="7"/>
        <v>0</v>
      </c>
      <c r="AA24" s="180"/>
      <c r="AB24" s="180"/>
      <c r="AC24" s="58">
        <f t="shared" si="4"/>
        <v>0</v>
      </c>
      <c r="AD24" s="181"/>
      <c r="AE24" s="181"/>
      <c r="AF24" s="649"/>
      <c r="AG24" s="649"/>
      <c r="AH24" s="58">
        <f t="shared" si="9"/>
        <v>0</v>
      </c>
      <c r="AI24" s="649"/>
      <c r="AJ24" s="649"/>
      <c r="AK24" s="58">
        <f t="shared" si="8"/>
        <v>0</v>
      </c>
      <c r="AL24" s="181"/>
      <c r="AM24" s="58">
        <f t="shared" si="5"/>
        <v>0</v>
      </c>
      <c r="AN24" s="73">
        <f>AM24*14.81%</f>
        <v>0</v>
      </c>
      <c r="AO24" s="99"/>
      <c r="AP24" s="99"/>
      <c r="AQ24" s="182"/>
      <c r="AR24" s="182"/>
      <c r="AS24" s="172">
        <f t="shared" si="2"/>
        <v>0</v>
      </c>
      <c r="AU24" s="173"/>
      <c r="AV24" s="174">
        <f>AM24*1</f>
        <v>0</v>
      </c>
      <c r="AW24" s="175"/>
      <c r="AX24" s="175"/>
    </row>
    <row r="25" spans="1:50" s="7" customFormat="1" ht="21" customHeight="1" thickBot="1">
      <c r="A25" s="163"/>
      <c r="B25" s="1155"/>
      <c r="C25" s="1157"/>
      <c r="D25" s="30" t="s">
        <v>43</v>
      </c>
      <c r="E25" s="30" t="s">
        <v>472</v>
      </c>
      <c r="F25" s="28">
        <v>8.6</v>
      </c>
      <c r="G25" s="17" t="s">
        <v>1030</v>
      </c>
      <c r="H25" s="137"/>
      <c r="I25" s="138"/>
      <c r="J25" s="138"/>
      <c r="K25" s="170">
        <f t="shared" si="3"/>
        <v>0</v>
      </c>
      <c r="L25" s="139"/>
      <c r="M25" s="140"/>
      <c r="N25" s="79"/>
      <c r="O25" s="79"/>
      <c r="P25" s="79"/>
      <c r="Q25" s="79"/>
      <c r="R25" s="79"/>
      <c r="S25" s="79"/>
      <c r="T25" s="70">
        <f t="shared" si="0"/>
        <v>0</v>
      </c>
      <c r="U25" s="79"/>
      <c r="V25" s="79"/>
      <c r="W25" s="58">
        <f t="shared" si="1"/>
        <v>0</v>
      </c>
      <c r="X25" s="79"/>
      <c r="Y25" s="79"/>
      <c r="Z25" s="58">
        <f t="shared" si="7"/>
        <v>0</v>
      </c>
      <c r="AA25" s="80"/>
      <c r="AB25" s="80"/>
      <c r="AC25" s="58">
        <f t="shared" si="4"/>
        <v>0</v>
      </c>
      <c r="AD25" s="81"/>
      <c r="AE25" s="81"/>
      <c r="AF25" s="650"/>
      <c r="AG25" s="650"/>
      <c r="AH25" s="58">
        <f t="shared" si="9"/>
        <v>0</v>
      </c>
      <c r="AI25" s="650"/>
      <c r="AJ25" s="650"/>
      <c r="AK25" s="58">
        <f t="shared" si="8"/>
        <v>0</v>
      </c>
      <c r="AL25" s="82"/>
      <c r="AM25" s="58">
        <f t="shared" si="5"/>
        <v>0</v>
      </c>
      <c r="AN25" s="73">
        <f>AM25*14.81%</f>
        <v>0</v>
      </c>
      <c r="AO25" s="83"/>
      <c r="AP25" s="83"/>
      <c r="AQ25" s="182"/>
      <c r="AR25" s="182"/>
      <c r="AS25" s="172">
        <f t="shared" si="2"/>
        <v>0</v>
      </c>
      <c r="AU25" s="173"/>
      <c r="AV25" s="174">
        <f>AM25*1</f>
        <v>0</v>
      </c>
      <c r="AW25" s="175"/>
      <c r="AX25" s="175"/>
    </row>
    <row r="26" spans="1:50" s="5" customFormat="1" ht="36" customHeight="1" thickBot="1">
      <c r="A26" s="163"/>
      <c r="B26" s="1158">
        <v>8.7</v>
      </c>
      <c r="C26" s="1161" t="s">
        <v>474</v>
      </c>
      <c r="D26" s="18" t="s">
        <v>1031</v>
      </c>
      <c r="E26" s="19" t="s">
        <v>1203</v>
      </c>
      <c r="F26" s="19">
        <v>8.7</v>
      </c>
      <c r="G26" s="19"/>
      <c r="H26" s="130"/>
      <c r="I26" s="131"/>
      <c r="J26" s="131"/>
      <c r="K26" s="170">
        <f t="shared" si="3"/>
        <v>0</v>
      </c>
      <c r="L26" s="133"/>
      <c r="M26" s="133"/>
      <c r="N26" s="133"/>
      <c r="O26" s="133"/>
      <c r="P26" s="133"/>
      <c r="Q26" s="133"/>
      <c r="R26" s="133"/>
      <c r="S26" s="143"/>
      <c r="T26" s="70">
        <f t="shared" si="0"/>
        <v>0</v>
      </c>
      <c r="U26" s="71">
        <v>20</v>
      </c>
      <c r="V26" s="71">
        <v>300</v>
      </c>
      <c r="W26" s="58">
        <f t="shared" si="1"/>
        <v>6000</v>
      </c>
      <c r="X26" s="71"/>
      <c r="Y26" s="71"/>
      <c r="Z26" s="58">
        <f t="shared" si="7"/>
        <v>0</v>
      </c>
      <c r="AA26" s="72"/>
      <c r="AB26" s="72"/>
      <c r="AC26" s="58">
        <f t="shared" si="4"/>
        <v>0</v>
      </c>
      <c r="AD26" s="70"/>
      <c r="AE26" s="70"/>
      <c r="AF26" s="91"/>
      <c r="AG26" s="91"/>
      <c r="AH26" s="58">
        <f t="shared" si="9"/>
        <v>0</v>
      </c>
      <c r="AI26" s="91"/>
      <c r="AJ26" s="91"/>
      <c r="AK26" s="58">
        <f t="shared" si="8"/>
        <v>0</v>
      </c>
      <c r="AL26" s="70"/>
      <c r="AM26" s="58">
        <f t="shared" si="5"/>
        <v>6000</v>
      </c>
      <c r="AN26" s="73"/>
      <c r="AO26" s="73"/>
      <c r="AP26" s="73"/>
      <c r="AQ26" s="191"/>
      <c r="AR26" s="191"/>
      <c r="AS26" s="172">
        <f t="shared" si="2"/>
        <v>6000</v>
      </c>
      <c r="AU26" s="173"/>
      <c r="AV26" s="174"/>
      <c r="AW26" s="175">
        <f>AM26</f>
        <v>6000</v>
      </c>
      <c r="AX26" s="175"/>
    </row>
    <row r="27" spans="1:50" s="6" customFormat="1" ht="30" customHeight="1">
      <c r="A27" s="163"/>
      <c r="B27" s="1154"/>
      <c r="C27" s="1156"/>
      <c r="D27" s="17" t="s">
        <v>45</v>
      </c>
      <c r="E27" s="17" t="s">
        <v>475</v>
      </c>
      <c r="F27" s="17">
        <v>8.7</v>
      </c>
      <c r="G27" s="17" t="s">
        <v>473</v>
      </c>
      <c r="H27" s="37"/>
      <c r="I27" s="2"/>
      <c r="J27" s="2"/>
      <c r="K27" s="170">
        <f t="shared" si="3"/>
        <v>0</v>
      </c>
      <c r="L27" s="8">
        <v>15</v>
      </c>
      <c r="M27" s="8">
        <v>3</v>
      </c>
      <c r="N27" s="8">
        <v>20</v>
      </c>
      <c r="O27" s="8">
        <v>350</v>
      </c>
      <c r="P27" s="8">
        <v>25</v>
      </c>
      <c r="Q27" s="8">
        <v>30</v>
      </c>
      <c r="R27" s="8">
        <v>20</v>
      </c>
      <c r="S27" s="8">
        <v>65</v>
      </c>
      <c r="T27" s="70">
        <f t="shared" si="0"/>
        <v>74175</v>
      </c>
      <c r="U27" s="39"/>
      <c r="V27" s="39"/>
      <c r="W27" s="58">
        <f t="shared" si="1"/>
        <v>0</v>
      </c>
      <c r="X27" s="39"/>
      <c r="Y27" s="39"/>
      <c r="Z27" s="58">
        <f t="shared" si="7"/>
        <v>0</v>
      </c>
      <c r="AA27" s="42"/>
      <c r="AB27" s="42"/>
      <c r="AC27" s="58">
        <f t="shared" si="4"/>
        <v>0</v>
      </c>
      <c r="AD27" s="58"/>
      <c r="AE27" s="58"/>
      <c r="AF27" s="651"/>
      <c r="AG27" s="651"/>
      <c r="AH27" s="58">
        <f t="shared" si="9"/>
        <v>0</v>
      </c>
      <c r="AI27" s="651"/>
      <c r="AJ27" s="651"/>
      <c r="AK27" s="58">
        <f t="shared" si="8"/>
        <v>0</v>
      </c>
      <c r="AL27" s="58"/>
      <c r="AM27" s="58">
        <f t="shared" si="5"/>
        <v>74175</v>
      </c>
      <c r="AN27" s="73"/>
      <c r="AO27" s="76"/>
      <c r="AP27" s="76"/>
      <c r="AQ27" s="171"/>
      <c r="AR27" s="171"/>
      <c r="AS27" s="172">
        <f t="shared" si="2"/>
        <v>74175</v>
      </c>
      <c r="AU27" s="173"/>
      <c r="AV27" s="174"/>
      <c r="AW27" s="175">
        <f>AM27*1</f>
        <v>74175</v>
      </c>
      <c r="AX27" s="175"/>
    </row>
    <row r="28" spans="1:50" s="6" customFormat="1" ht="12" customHeight="1" thickBot="1">
      <c r="A28" s="467"/>
      <c r="B28" s="468"/>
      <c r="C28" s="456"/>
      <c r="D28" s="456"/>
      <c r="E28" s="457"/>
      <c r="F28" s="469"/>
      <c r="G28" s="469"/>
      <c r="H28" s="459"/>
      <c r="I28" s="470"/>
      <c r="J28" s="470"/>
      <c r="K28" s="458">
        <f>SUM(K15:K27)</f>
        <v>0</v>
      </c>
      <c r="L28" s="458"/>
      <c r="M28" s="458"/>
      <c r="N28" s="458"/>
      <c r="O28" s="458"/>
      <c r="P28" s="458"/>
      <c r="Q28" s="458"/>
      <c r="R28" s="458"/>
      <c r="S28" s="458"/>
      <c r="T28" s="458">
        <f aca="true" t="shared" si="10" ref="T28:AX28">SUM(T15:T27)</f>
        <v>74175</v>
      </c>
      <c r="U28" s="458"/>
      <c r="V28" s="458"/>
      <c r="W28" s="458">
        <f t="shared" si="10"/>
        <v>3061000</v>
      </c>
      <c r="X28" s="458"/>
      <c r="Y28" s="458"/>
      <c r="Z28" s="458">
        <f t="shared" si="10"/>
        <v>6843750</v>
      </c>
      <c r="AA28" s="458">
        <f t="shared" si="10"/>
        <v>0</v>
      </c>
      <c r="AB28" s="458">
        <f t="shared" si="10"/>
        <v>0</v>
      </c>
      <c r="AC28" s="458">
        <f t="shared" si="10"/>
        <v>0</v>
      </c>
      <c r="AD28" s="458">
        <f t="shared" si="10"/>
        <v>0</v>
      </c>
      <c r="AE28" s="458">
        <f t="shared" si="10"/>
        <v>0</v>
      </c>
      <c r="AF28" s="458">
        <f t="shared" si="10"/>
        <v>0</v>
      </c>
      <c r="AG28" s="458">
        <f t="shared" si="10"/>
        <v>0</v>
      </c>
      <c r="AH28" s="458">
        <f t="shared" si="10"/>
        <v>241152</v>
      </c>
      <c r="AI28" s="458">
        <f t="shared" si="10"/>
        <v>0</v>
      </c>
      <c r="AJ28" s="458">
        <f t="shared" si="10"/>
        <v>0</v>
      </c>
      <c r="AK28" s="458">
        <f t="shared" si="10"/>
        <v>0</v>
      </c>
      <c r="AL28" s="458">
        <f t="shared" si="10"/>
        <v>750000</v>
      </c>
      <c r="AM28" s="458">
        <f t="shared" si="10"/>
        <v>10970077</v>
      </c>
      <c r="AN28" s="458">
        <f t="shared" si="10"/>
        <v>2322361.4861999997</v>
      </c>
      <c r="AO28" s="458">
        <f t="shared" si="10"/>
        <v>1272242</v>
      </c>
      <c r="AP28" s="458">
        <f t="shared" si="10"/>
        <v>0</v>
      </c>
      <c r="AQ28" s="458">
        <f t="shared" si="10"/>
        <v>1583750</v>
      </c>
      <c r="AR28" s="458">
        <f t="shared" si="10"/>
        <v>0</v>
      </c>
      <c r="AS28" s="458">
        <f t="shared" si="10"/>
        <v>5791723.5138</v>
      </c>
      <c r="AT28" s="458"/>
      <c r="AU28" s="458">
        <f t="shared" si="10"/>
        <v>5928652</v>
      </c>
      <c r="AV28" s="458">
        <f t="shared" si="10"/>
        <v>4424375</v>
      </c>
      <c r="AW28" s="458">
        <f t="shared" si="10"/>
        <v>617050</v>
      </c>
      <c r="AX28" s="458">
        <f t="shared" si="10"/>
        <v>0</v>
      </c>
    </row>
    <row r="29" spans="1:50" s="12" customFormat="1" ht="58.5" customHeight="1" thickBot="1">
      <c r="A29" s="349"/>
      <c r="B29" s="1159" t="s">
        <v>1032</v>
      </c>
      <c r="C29" s="1159"/>
      <c r="D29" s="1159"/>
      <c r="E29" s="1160"/>
      <c r="F29" s="350"/>
      <c r="G29" s="344"/>
      <c r="H29" s="27"/>
      <c r="I29" s="27"/>
      <c r="J29" s="27"/>
      <c r="K29" s="170">
        <f t="shared" si="3"/>
        <v>0</v>
      </c>
      <c r="L29" s="27"/>
      <c r="M29" s="27"/>
      <c r="N29" s="27"/>
      <c r="O29" s="27"/>
      <c r="P29" s="27"/>
      <c r="Q29" s="27"/>
      <c r="R29" s="27"/>
      <c r="S29" s="27"/>
      <c r="T29" s="70">
        <f t="shared" si="0"/>
        <v>0</v>
      </c>
      <c r="U29" s="27"/>
      <c r="V29" s="27"/>
      <c r="W29" s="58">
        <f t="shared" si="1"/>
        <v>0</v>
      </c>
      <c r="X29" s="27"/>
      <c r="Y29" s="27"/>
      <c r="Z29" s="58">
        <f t="shared" si="7"/>
        <v>0</v>
      </c>
      <c r="AA29" s="27"/>
      <c r="AB29" s="27"/>
      <c r="AC29" s="58">
        <f t="shared" si="4"/>
        <v>0</v>
      </c>
      <c r="AD29" s="27"/>
      <c r="AE29" s="27"/>
      <c r="AF29" s="27"/>
      <c r="AG29" s="27"/>
      <c r="AH29" s="27"/>
      <c r="AI29" s="27"/>
      <c r="AJ29" s="27"/>
      <c r="AK29" s="27"/>
      <c r="AL29" s="27"/>
      <c r="AM29" s="58">
        <f t="shared" si="5"/>
        <v>0</v>
      </c>
      <c r="AN29" s="27"/>
      <c r="AO29" s="27"/>
      <c r="AP29" s="27"/>
      <c r="AQ29" s="169"/>
      <c r="AR29" s="169"/>
      <c r="AS29" s="172">
        <f t="shared" si="2"/>
        <v>0</v>
      </c>
      <c r="AT29" s="159"/>
      <c r="AU29" s="20"/>
      <c r="AV29" s="16"/>
      <c r="AW29" s="21"/>
      <c r="AX29" s="21"/>
    </row>
    <row r="30" spans="1:50" s="7" customFormat="1" ht="39" customHeight="1" thickBot="1">
      <c r="A30" s="163"/>
      <c r="B30" s="205">
        <v>9.1</v>
      </c>
      <c r="C30" s="206" t="s">
        <v>477</v>
      </c>
      <c r="D30" s="17" t="s">
        <v>1033</v>
      </c>
      <c r="E30" s="19" t="s">
        <v>478</v>
      </c>
      <c r="F30" s="158">
        <v>9.1</v>
      </c>
      <c r="G30" s="30"/>
      <c r="H30" s="130"/>
      <c r="I30" s="131"/>
      <c r="J30" s="131"/>
      <c r="K30" s="170">
        <f t="shared" si="3"/>
        <v>0</v>
      </c>
      <c r="L30" s="133"/>
      <c r="M30" s="133"/>
      <c r="N30" s="133"/>
      <c r="O30" s="133"/>
      <c r="P30" s="133"/>
      <c r="Q30" s="133"/>
      <c r="R30" s="133"/>
      <c r="S30" s="143"/>
      <c r="T30" s="70">
        <f t="shared" si="0"/>
        <v>0</v>
      </c>
      <c r="U30" s="71">
        <v>400</v>
      </c>
      <c r="V30" s="71">
        <v>300</v>
      </c>
      <c r="W30" s="58">
        <f t="shared" si="1"/>
        <v>120000</v>
      </c>
      <c r="X30" s="71">
        <v>80</v>
      </c>
      <c r="Y30" s="71">
        <v>1000</v>
      </c>
      <c r="Z30" s="58">
        <f t="shared" si="7"/>
        <v>80000</v>
      </c>
      <c r="AA30" s="72"/>
      <c r="AB30" s="72"/>
      <c r="AC30" s="58">
        <f t="shared" si="4"/>
        <v>0</v>
      </c>
      <c r="AD30" s="70"/>
      <c r="AE30" s="70"/>
      <c r="AF30" s="91"/>
      <c r="AG30" s="91"/>
      <c r="AH30" s="58">
        <f>AF30*AG30</f>
        <v>0</v>
      </c>
      <c r="AI30" s="91"/>
      <c r="AJ30" s="91"/>
      <c r="AK30" s="58">
        <f>AI30*AJ30</f>
        <v>0</v>
      </c>
      <c r="AL30" s="70"/>
      <c r="AM30" s="58">
        <f t="shared" si="5"/>
        <v>200000</v>
      </c>
      <c r="AN30" s="73"/>
      <c r="AO30" s="73"/>
      <c r="AP30" s="73"/>
      <c r="AQ30" s="191"/>
      <c r="AR30" s="191"/>
      <c r="AS30" s="172">
        <f t="shared" si="2"/>
        <v>200000</v>
      </c>
      <c r="AU30" s="173">
        <f>AM30*1</f>
        <v>200000</v>
      </c>
      <c r="AV30" s="174"/>
      <c r="AW30" s="175"/>
      <c r="AX30" s="175"/>
    </row>
    <row r="31" spans="1:50" s="7" customFormat="1" ht="39" customHeight="1" thickBot="1">
      <c r="A31" s="163"/>
      <c r="B31" s="1152">
        <v>9.2</v>
      </c>
      <c r="C31" s="1151" t="s">
        <v>479</v>
      </c>
      <c r="D31" s="17" t="s">
        <v>1034</v>
      </c>
      <c r="E31" s="18" t="s">
        <v>480</v>
      </c>
      <c r="F31" s="18">
        <v>9.2</v>
      </c>
      <c r="G31" s="18"/>
      <c r="H31" s="134"/>
      <c r="I31" s="135"/>
      <c r="J31" s="135"/>
      <c r="K31" s="170">
        <f t="shared" si="3"/>
        <v>0</v>
      </c>
      <c r="L31" s="143"/>
      <c r="M31" s="143"/>
      <c r="N31" s="143"/>
      <c r="O31" s="143"/>
      <c r="P31" s="143"/>
      <c r="Q31" s="143"/>
      <c r="R31" s="143"/>
      <c r="S31" s="143"/>
      <c r="T31" s="70">
        <f t="shared" si="0"/>
        <v>0</v>
      </c>
      <c r="U31" s="87"/>
      <c r="V31" s="87"/>
      <c r="W31" s="58">
        <f t="shared" si="1"/>
        <v>0</v>
      </c>
      <c r="X31" s="87"/>
      <c r="Y31" s="87"/>
      <c r="Z31" s="58">
        <f t="shared" si="7"/>
        <v>0</v>
      </c>
      <c r="AA31" s="89"/>
      <c r="AB31" s="89"/>
      <c r="AC31" s="58">
        <f t="shared" si="4"/>
        <v>0</v>
      </c>
      <c r="AD31" s="88"/>
      <c r="AE31" s="88">
        <v>1350000</v>
      </c>
      <c r="AF31" s="648"/>
      <c r="AG31" s="648"/>
      <c r="AH31" s="58">
        <f>AF31*AG31</f>
        <v>0</v>
      </c>
      <c r="AI31" s="648"/>
      <c r="AJ31" s="648"/>
      <c r="AK31" s="58">
        <f>AI31*AJ31</f>
        <v>0</v>
      </c>
      <c r="AL31" s="88"/>
      <c r="AM31" s="58">
        <f t="shared" si="5"/>
        <v>1350000</v>
      </c>
      <c r="AN31" s="90">
        <v>350000</v>
      </c>
      <c r="AO31" s="90"/>
      <c r="AP31" s="90"/>
      <c r="AQ31" s="191"/>
      <c r="AR31" s="191"/>
      <c r="AS31" s="172">
        <f t="shared" si="2"/>
        <v>1000000</v>
      </c>
      <c r="AU31" s="173">
        <f>AM31*0.2</f>
        <v>270000</v>
      </c>
      <c r="AV31" s="174">
        <f>AM31*0.8</f>
        <v>1080000</v>
      </c>
      <c r="AW31" s="175"/>
      <c r="AX31" s="175"/>
    </row>
    <row r="32" spans="1:50" s="7" customFormat="1" ht="26.25" thickBot="1">
      <c r="A32" s="163"/>
      <c r="B32" s="1152"/>
      <c r="C32" s="1151"/>
      <c r="D32" s="17" t="s">
        <v>1035</v>
      </c>
      <c r="E32" s="31" t="s">
        <v>481</v>
      </c>
      <c r="F32" s="31">
        <v>9.2</v>
      </c>
      <c r="G32" s="18"/>
      <c r="H32" s="134"/>
      <c r="I32" s="135"/>
      <c r="J32" s="135"/>
      <c r="K32" s="170">
        <f t="shared" si="3"/>
        <v>0</v>
      </c>
      <c r="L32" s="143"/>
      <c r="M32" s="143"/>
      <c r="N32" s="143"/>
      <c r="O32" s="143"/>
      <c r="P32" s="143"/>
      <c r="Q32" s="143"/>
      <c r="R32" s="143"/>
      <c r="S32" s="143"/>
      <c r="T32" s="70">
        <f t="shared" si="0"/>
        <v>0</v>
      </c>
      <c r="U32" s="87"/>
      <c r="V32" s="87"/>
      <c r="W32" s="58">
        <f t="shared" si="1"/>
        <v>0</v>
      </c>
      <c r="X32" s="87">
        <v>60</v>
      </c>
      <c r="Y32" s="87">
        <v>350</v>
      </c>
      <c r="Z32" s="58">
        <f t="shared" si="7"/>
        <v>21000</v>
      </c>
      <c r="AA32" s="89">
        <v>200</v>
      </c>
      <c r="AB32" s="89">
        <v>1250</v>
      </c>
      <c r="AC32" s="58">
        <f t="shared" si="4"/>
        <v>250000</v>
      </c>
      <c r="AD32" s="88"/>
      <c r="AE32" s="88">
        <v>6750000</v>
      </c>
      <c r="AF32" s="648"/>
      <c r="AG32" s="648"/>
      <c r="AH32" s="58">
        <v>4800000</v>
      </c>
      <c r="AI32" s="648"/>
      <c r="AJ32" s="648"/>
      <c r="AK32" s="58">
        <f>AI32*AJ32</f>
        <v>0</v>
      </c>
      <c r="AL32" s="88"/>
      <c r="AM32" s="58">
        <f t="shared" si="5"/>
        <v>11821000</v>
      </c>
      <c r="AN32" s="193">
        <f>750000+800000</f>
        <v>1550000</v>
      </c>
      <c r="AO32" s="90"/>
      <c r="AP32" s="90"/>
      <c r="AQ32" s="191"/>
      <c r="AR32" s="191"/>
      <c r="AS32" s="172">
        <f t="shared" si="2"/>
        <v>10271000</v>
      </c>
      <c r="AU32" s="173"/>
      <c r="AV32" s="174">
        <f>AM32*0.8</f>
        <v>9456800</v>
      </c>
      <c r="AW32" s="175">
        <f>AM32*0.2</f>
        <v>2364200</v>
      </c>
      <c r="AX32" s="175"/>
    </row>
    <row r="33" spans="1:50" s="6" customFormat="1" ht="26.25" thickBot="1">
      <c r="A33" s="163"/>
      <c r="B33" s="1152"/>
      <c r="C33" s="1151"/>
      <c r="D33" s="18" t="s">
        <v>1036</v>
      </c>
      <c r="E33" s="32" t="s">
        <v>482</v>
      </c>
      <c r="F33" s="32">
        <v>9.2</v>
      </c>
      <c r="G33" s="17" t="s">
        <v>1037</v>
      </c>
      <c r="H33" s="144"/>
      <c r="I33" s="178"/>
      <c r="J33" s="178"/>
      <c r="K33" s="170">
        <f t="shared" si="3"/>
        <v>0</v>
      </c>
      <c r="L33" s="162">
        <v>15</v>
      </c>
      <c r="M33" s="183">
        <v>3</v>
      </c>
      <c r="N33" s="183">
        <v>20</v>
      </c>
      <c r="O33" s="183">
        <v>350</v>
      </c>
      <c r="P33" s="8">
        <v>25</v>
      </c>
      <c r="Q33" s="8">
        <v>30</v>
      </c>
      <c r="R33" s="8">
        <v>20</v>
      </c>
      <c r="S33" s="8">
        <v>65</v>
      </c>
      <c r="T33" s="70">
        <f>(L33*M33*O33)+(L33*M33*N33*P33)+(L33*M33*N33*Q33)+(L33*N33*R33)+(L33*M33*S33)+51906</f>
        <v>126081</v>
      </c>
      <c r="U33" s="179"/>
      <c r="V33" s="179"/>
      <c r="W33" s="58">
        <f t="shared" si="1"/>
        <v>0</v>
      </c>
      <c r="X33" s="179"/>
      <c r="Y33" s="179"/>
      <c r="Z33" s="58">
        <f t="shared" si="7"/>
        <v>0</v>
      </c>
      <c r="AA33" s="180"/>
      <c r="AB33" s="180"/>
      <c r="AC33" s="58">
        <f t="shared" si="4"/>
        <v>0</v>
      </c>
      <c r="AD33" s="181"/>
      <c r="AE33" s="181"/>
      <c r="AF33" s="649"/>
      <c r="AG33" s="649"/>
      <c r="AH33" s="58">
        <f>AF33*AG33</f>
        <v>0</v>
      </c>
      <c r="AI33" s="649"/>
      <c r="AJ33" s="649"/>
      <c r="AK33" s="58">
        <f>AI33*AJ33</f>
        <v>0</v>
      </c>
      <c r="AL33" s="58"/>
      <c r="AM33" s="58">
        <f t="shared" si="5"/>
        <v>126081</v>
      </c>
      <c r="AN33" s="73">
        <v>74175</v>
      </c>
      <c r="AO33" s="99"/>
      <c r="AQ33" s="99">
        <v>51906</v>
      </c>
      <c r="AR33" s="182"/>
      <c r="AS33" s="172">
        <f t="shared" si="2"/>
        <v>0</v>
      </c>
      <c r="AU33" s="173"/>
      <c r="AV33" s="174"/>
      <c r="AW33" s="175">
        <f>AM33*1</f>
        <v>126081</v>
      </c>
      <c r="AX33" s="175"/>
    </row>
    <row r="34" spans="1:50" s="7" customFormat="1" ht="45" customHeight="1" thickBot="1">
      <c r="A34" s="163"/>
      <c r="B34" s="205">
        <v>9.3</v>
      </c>
      <c r="C34" s="206" t="s">
        <v>483</v>
      </c>
      <c r="D34" s="30" t="s">
        <v>38</v>
      </c>
      <c r="E34" s="30" t="s">
        <v>484</v>
      </c>
      <c r="F34" s="30">
        <v>9.3</v>
      </c>
      <c r="G34" s="30"/>
      <c r="H34" s="137"/>
      <c r="I34" s="138"/>
      <c r="J34" s="138"/>
      <c r="K34" s="170">
        <f t="shared" si="3"/>
        <v>0</v>
      </c>
      <c r="L34" s="139"/>
      <c r="M34" s="140"/>
      <c r="N34" s="79"/>
      <c r="O34" s="79"/>
      <c r="P34" s="79"/>
      <c r="Q34" s="79"/>
      <c r="R34" s="79"/>
      <c r="S34" s="79"/>
      <c r="T34" s="70">
        <f t="shared" si="0"/>
        <v>0</v>
      </c>
      <c r="U34" s="79"/>
      <c r="V34" s="79"/>
      <c r="W34" s="58">
        <f t="shared" si="1"/>
        <v>0</v>
      </c>
      <c r="X34" s="79"/>
      <c r="Y34" s="79"/>
      <c r="Z34" s="58">
        <f t="shared" si="7"/>
        <v>0</v>
      </c>
      <c r="AA34" s="80"/>
      <c r="AB34" s="80"/>
      <c r="AC34" s="58">
        <f t="shared" si="4"/>
        <v>0</v>
      </c>
      <c r="AD34" s="81"/>
      <c r="AE34" s="81">
        <f>250000*0.844</f>
        <v>211000</v>
      </c>
      <c r="AF34" s="650"/>
      <c r="AG34" s="650"/>
      <c r="AH34" s="58">
        <f>AF34*AG34</f>
        <v>0</v>
      </c>
      <c r="AI34" s="650"/>
      <c r="AJ34" s="650"/>
      <c r="AK34" s="58">
        <f>AI34*AJ34</f>
        <v>0</v>
      </c>
      <c r="AL34" s="82"/>
      <c r="AM34" s="58">
        <f t="shared" si="5"/>
        <v>211000</v>
      </c>
      <c r="AN34" s="83"/>
      <c r="AO34" s="83"/>
      <c r="AQ34" s="194">
        <f>AM34</f>
        <v>211000</v>
      </c>
      <c r="AR34" s="195"/>
      <c r="AS34" s="172">
        <f t="shared" si="2"/>
        <v>0</v>
      </c>
      <c r="AU34" s="173">
        <f>AM34*1</f>
        <v>211000</v>
      </c>
      <c r="AV34" s="174"/>
      <c r="AW34" s="175"/>
      <c r="AX34" s="175"/>
    </row>
    <row r="35" spans="1:50" s="7" customFormat="1" ht="13.5" thickBot="1">
      <c r="A35" s="471"/>
      <c r="B35" s="472"/>
      <c r="C35" s="473"/>
      <c r="D35" s="474"/>
      <c r="E35" s="474"/>
      <c r="F35" s="474"/>
      <c r="G35" s="474"/>
      <c r="H35" s="475"/>
      <c r="I35" s="476"/>
      <c r="J35" s="476"/>
      <c r="K35" s="477">
        <f>SUM(K29:K34)</f>
        <v>0</v>
      </c>
      <c r="L35" s="477">
        <f aca="true" t="shared" si="11" ref="L35:AX35">SUM(L29:L34)</f>
        <v>15</v>
      </c>
      <c r="M35" s="477">
        <f t="shared" si="11"/>
        <v>3</v>
      </c>
      <c r="N35" s="477">
        <f t="shared" si="11"/>
        <v>20</v>
      </c>
      <c r="O35" s="477">
        <f t="shared" si="11"/>
        <v>350</v>
      </c>
      <c r="P35" s="477">
        <f t="shared" si="11"/>
        <v>25</v>
      </c>
      <c r="Q35" s="477">
        <f t="shared" si="11"/>
        <v>30</v>
      </c>
      <c r="R35" s="477">
        <f t="shared" si="11"/>
        <v>20</v>
      </c>
      <c r="S35" s="477">
        <f t="shared" si="11"/>
        <v>65</v>
      </c>
      <c r="T35" s="477">
        <f t="shared" si="11"/>
        <v>126081</v>
      </c>
      <c r="U35" s="477">
        <f t="shared" si="11"/>
        <v>400</v>
      </c>
      <c r="V35" s="477">
        <f t="shared" si="11"/>
        <v>300</v>
      </c>
      <c r="W35" s="477">
        <f t="shared" si="11"/>
        <v>120000</v>
      </c>
      <c r="X35" s="477">
        <f t="shared" si="11"/>
        <v>140</v>
      </c>
      <c r="Y35" s="477">
        <f t="shared" si="11"/>
        <v>1350</v>
      </c>
      <c r="Z35" s="477">
        <f t="shared" si="11"/>
        <v>101000</v>
      </c>
      <c r="AA35" s="477">
        <f t="shared" si="11"/>
        <v>200</v>
      </c>
      <c r="AB35" s="477">
        <f t="shared" si="11"/>
        <v>1250</v>
      </c>
      <c r="AC35" s="477">
        <f t="shared" si="11"/>
        <v>250000</v>
      </c>
      <c r="AD35" s="477">
        <f t="shared" si="11"/>
        <v>0</v>
      </c>
      <c r="AE35" s="477">
        <f t="shared" si="11"/>
        <v>8311000</v>
      </c>
      <c r="AF35" s="477">
        <f t="shared" si="11"/>
        <v>0</v>
      </c>
      <c r="AG35" s="477">
        <f t="shared" si="11"/>
        <v>0</v>
      </c>
      <c r="AH35" s="477">
        <f t="shared" si="11"/>
        <v>4800000</v>
      </c>
      <c r="AI35" s="477">
        <f t="shared" si="11"/>
        <v>0</v>
      </c>
      <c r="AJ35" s="477">
        <f t="shared" si="11"/>
        <v>0</v>
      </c>
      <c r="AK35" s="477">
        <f t="shared" si="11"/>
        <v>0</v>
      </c>
      <c r="AL35" s="477">
        <f t="shared" si="11"/>
        <v>0</v>
      </c>
      <c r="AM35" s="477">
        <f t="shared" si="11"/>
        <v>13708081</v>
      </c>
      <c r="AN35" s="477">
        <f t="shared" si="11"/>
        <v>1974175</v>
      </c>
      <c r="AO35" s="477">
        <f t="shared" si="11"/>
        <v>0</v>
      </c>
      <c r="AP35" s="477">
        <f t="shared" si="11"/>
        <v>0</v>
      </c>
      <c r="AQ35" s="477">
        <f t="shared" si="11"/>
        <v>262906</v>
      </c>
      <c r="AR35" s="477">
        <f t="shared" si="11"/>
        <v>0</v>
      </c>
      <c r="AS35" s="477">
        <f t="shared" si="11"/>
        <v>11471000</v>
      </c>
      <c r="AT35" s="478"/>
      <c r="AU35" s="477">
        <f t="shared" si="11"/>
        <v>681000</v>
      </c>
      <c r="AV35" s="477">
        <f t="shared" si="11"/>
        <v>10536800</v>
      </c>
      <c r="AW35" s="477">
        <f t="shared" si="11"/>
        <v>2490281</v>
      </c>
      <c r="AX35" s="477">
        <f t="shared" si="11"/>
        <v>0</v>
      </c>
    </row>
    <row r="36" spans="1:50" ht="12" thickBot="1">
      <c r="A36" s="22"/>
      <c r="B36" s="208"/>
      <c r="C36" s="204"/>
      <c r="D36" s="13"/>
      <c r="E36" s="14"/>
      <c r="F36" s="14"/>
      <c r="G36" s="14"/>
      <c r="H36" s="199"/>
      <c r="I36" s="33"/>
      <c r="J36" s="33"/>
      <c r="K36" s="200">
        <f>K14+K28+K35</f>
        <v>3435720</v>
      </c>
      <c r="L36" s="200"/>
      <c r="M36" s="200"/>
      <c r="N36" s="200"/>
      <c r="O36" s="200"/>
      <c r="P36" s="200"/>
      <c r="Q36" s="200"/>
      <c r="R36" s="200"/>
      <c r="S36" s="200"/>
      <c r="T36" s="200">
        <f aca="true" t="shared" si="12" ref="T36:AX36">T14+T28+T35</f>
        <v>200256</v>
      </c>
      <c r="U36" s="200"/>
      <c r="V36" s="200"/>
      <c r="W36" s="200">
        <f t="shared" si="12"/>
        <v>3181000</v>
      </c>
      <c r="X36" s="200"/>
      <c r="Y36" s="200"/>
      <c r="Z36" s="200">
        <f t="shared" si="12"/>
        <v>7353246</v>
      </c>
      <c r="AA36" s="200"/>
      <c r="AB36" s="200"/>
      <c r="AC36" s="200">
        <f t="shared" si="12"/>
        <v>386728</v>
      </c>
      <c r="AD36" s="200">
        <f t="shared" si="12"/>
        <v>18282740</v>
      </c>
      <c r="AE36" s="200">
        <f t="shared" si="12"/>
        <v>8628015</v>
      </c>
      <c r="AF36" s="200">
        <f t="shared" si="12"/>
        <v>0</v>
      </c>
      <c r="AG36" s="200">
        <f t="shared" si="12"/>
        <v>0</v>
      </c>
      <c r="AH36" s="200">
        <f t="shared" si="12"/>
        <v>5172639</v>
      </c>
      <c r="AI36" s="200">
        <f t="shared" si="12"/>
        <v>0</v>
      </c>
      <c r="AJ36" s="200">
        <f t="shared" si="12"/>
        <v>0</v>
      </c>
      <c r="AK36" s="200">
        <f t="shared" si="12"/>
        <v>50640</v>
      </c>
      <c r="AL36" s="200">
        <f t="shared" si="12"/>
        <v>3792344</v>
      </c>
      <c r="AM36" s="200">
        <f t="shared" si="12"/>
        <v>50483328</v>
      </c>
      <c r="AN36" s="200">
        <f t="shared" si="12"/>
        <v>13699906.4862</v>
      </c>
      <c r="AO36" s="200">
        <f t="shared" si="12"/>
        <v>1272242</v>
      </c>
      <c r="AP36" s="200">
        <f t="shared" si="12"/>
        <v>0</v>
      </c>
      <c r="AQ36" s="200">
        <f t="shared" si="12"/>
        <v>17332378</v>
      </c>
      <c r="AR36" s="200">
        <f t="shared" si="12"/>
        <v>916078</v>
      </c>
      <c r="AS36" s="200">
        <f t="shared" si="12"/>
        <v>17262723.5138</v>
      </c>
      <c r="AT36" s="200"/>
      <c r="AU36" s="200">
        <f t="shared" si="12"/>
        <v>9162347</v>
      </c>
      <c r="AV36" s="200">
        <f t="shared" si="12"/>
        <v>26649050</v>
      </c>
      <c r="AW36" s="200">
        <f t="shared" si="12"/>
        <v>14671931.3</v>
      </c>
      <c r="AX36" s="200">
        <f t="shared" si="12"/>
        <v>0</v>
      </c>
    </row>
    <row r="37" ht="11.25">
      <c r="AM37" s="35">
        <f>AM41-AM36</f>
        <v>360600.5714285746</v>
      </c>
    </row>
    <row r="38" spans="34:50" ht="22.5">
      <c r="AH38" s="35">
        <f>K36+T36+W36+Z36+AC36+AD36+AE36+AH36+AK36+AL36</f>
        <v>50483328</v>
      </c>
      <c r="AK38" s="35" t="s">
        <v>485</v>
      </c>
      <c r="AM38" s="35">
        <v>44400000</v>
      </c>
      <c r="AN38" s="35">
        <v>9400000</v>
      </c>
      <c r="AO38" s="356">
        <v>2000000</v>
      </c>
      <c r="AP38" s="356"/>
      <c r="AQ38" s="362">
        <v>26520000</v>
      </c>
      <c r="AR38" s="356">
        <v>916077.6</v>
      </c>
      <c r="AS38" s="357">
        <f>AM41-AN40-AO38-AQ38-AR38</f>
        <v>5563922.4</v>
      </c>
      <c r="AU38" s="35">
        <f>AS36-AS38</f>
        <v>11698801.113799999</v>
      </c>
      <c r="AX38" s="218"/>
    </row>
    <row r="39" spans="38:40" ht="11.25">
      <c r="AL39" s="60" t="s">
        <v>486</v>
      </c>
      <c r="AM39" s="35">
        <f>'[1]Sheet2'!I25</f>
        <v>3476278.5714285714</v>
      </c>
      <c r="AN39" s="35">
        <v>6443928.571428571</v>
      </c>
    </row>
    <row r="40" spans="34:40" ht="11.25">
      <c r="AH40" s="35">
        <f>AM36-AH38</f>
        <v>0</v>
      </c>
      <c r="AL40" s="60" t="s">
        <v>487</v>
      </c>
      <c r="AM40" s="35">
        <f>'[1]Sheet2'!I26</f>
        <v>2967650</v>
      </c>
      <c r="AN40" s="356">
        <f>AN38+AN39</f>
        <v>15843928.57142857</v>
      </c>
    </row>
    <row r="41" ht="11.25">
      <c r="AM41" s="60">
        <f>SUM(AM38:AM40)</f>
        <v>50843928.571428575</v>
      </c>
    </row>
    <row r="43" spans="39:45" ht="12.75">
      <c r="AM43" s="371" t="s">
        <v>488</v>
      </c>
      <c r="AN43" s="370">
        <f>AN40-AN36</f>
        <v>2144022.0852285717</v>
      </c>
      <c r="AO43" s="370">
        <f>AO38-AO36</f>
        <v>727758</v>
      </c>
      <c r="AP43" s="370">
        <f>AP38-AP36</f>
        <v>0</v>
      </c>
      <c r="AQ43" s="370">
        <f>AQ38-AQ36</f>
        <v>9187622</v>
      </c>
      <c r="AR43" s="370">
        <f>AR38-AR36</f>
        <v>-0.40000000002328306</v>
      </c>
      <c r="AS43" s="370">
        <f>AS38-AS36</f>
        <v>-11698801.113799999</v>
      </c>
    </row>
    <row r="44" ht="11.25">
      <c r="AN44" s="35" t="s">
        <v>1038</v>
      </c>
    </row>
  </sheetData>
  <sheetProtection/>
  <mergeCells count="39">
    <mergeCell ref="C31:C33"/>
    <mergeCell ref="B31:B33"/>
    <mergeCell ref="C20:C21"/>
    <mergeCell ref="B20:B21"/>
    <mergeCell ref="B23:B25"/>
    <mergeCell ref="C23:C25"/>
    <mergeCell ref="B26:B27"/>
    <mergeCell ref="B29:E29"/>
    <mergeCell ref="C26:C27"/>
    <mergeCell ref="C10:C12"/>
    <mergeCell ref="G5:G7"/>
    <mergeCell ref="B15:AS15"/>
    <mergeCell ref="AN6:AN7"/>
    <mergeCell ref="C16:C17"/>
    <mergeCell ref="AD5:AD7"/>
    <mergeCell ref="AE5:AE7"/>
    <mergeCell ref="A9:AS9"/>
    <mergeCell ref="B10:B12"/>
    <mergeCell ref="U5:W5"/>
    <mergeCell ref="B2:Q2"/>
    <mergeCell ref="A3:E3"/>
    <mergeCell ref="H3:K3"/>
    <mergeCell ref="L3:AC3"/>
    <mergeCell ref="AD3:AK4"/>
    <mergeCell ref="AU3:AX5"/>
    <mergeCell ref="B4:C7"/>
    <mergeCell ref="D4:E7"/>
    <mergeCell ref="H4:K5"/>
    <mergeCell ref="L4:T5"/>
    <mergeCell ref="X5:Z5"/>
    <mergeCell ref="AF5:AH5"/>
    <mergeCell ref="AI5:AK5"/>
    <mergeCell ref="AA4:AC5"/>
    <mergeCell ref="AO6:AR6"/>
    <mergeCell ref="A4:A7"/>
    <mergeCell ref="AN3:AS5"/>
    <mergeCell ref="AM3:AM7"/>
    <mergeCell ref="U4:Z4"/>
    <mergeCell ref="AL3:AL7"/>
  </mergeCells>
  <printOp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dimension ref="A1:AT18"/>
  <sheetViews>
    <sheetView zoomScale="140" zoomScaleNormal="140" zoomScalePageLayoutView="0" workbookViewId="0" topLeftCell="A14">
      <selection activeCell="F10" sqref="F10"/>
    </sheetView>
  </sheetViews>
  <sheetFormatPr defaultColWidth="9.28125" defaultRowHeight="15"/>
  <cols>
    <col min="1" max="1" width="5.7109375" style="316" customWidth="1"/>
    <col min="2" max="2" width="4.57421875" style="316" customWidth="1"/>
    <col min="3" max="3" width="21.28125" style="317" customWidth="1"/>
    <col min="4" max="4" width="5.28125" style="318" customWidth="1"/>
    <col min="5" max="5" width="19.7109375" style="333" customWidth="1"/>
    <col min="6" max="6" width="14.7109375" style="319" customWidth="1"/>
    <col min="7" max="7" width="5.7109375" style="320" customWidth="1"/>
    <col min="8" max="8" width="7.7109375" style="321" customWidth="1"/>
    <col min="9" max="9" width="7.28125" style="321" customWidth="1"/>
    <col min="10" max="10" width="9.7109375" style="320" customWidth="1"/>
    <col min="11" max="11" width="10.00390625" style="322" customWidth="1"/>
    <col min="12" max="12" width="9.57421875" style="322" customWidth="1"/>
    <col min="13" max="13" width="10.7109375" style="322" customWidth="1"/>
    <col min="14" max="14" width="11.7109375" style="322" customWidth="1"/>
    <col min="15" max="15" width="12.28125" style="322" customWidth="1"/>
    <col min="16" max="16" width="12.7109375" style="322" customWidth="1"/>
    <col min="17" max="18" width="11.57421875" style="322" customWidth="1"/>
    <col min="19" max="19" width="10.7109375" style="323" customWidth="1"/>
    <col min="20" max="20" width="9.28125" style="324" customWidth="1"/>
    <col min="21" max="21" width="7.421875" style="324" customWidth="1"/>
    <col min="22" max="22" width="9.7109375" style="323" customWidth="1"/>
    <col min="23" max="23" width="7.28125" style="325" customWidth="1"/>
    <col min="24" max="24" width="6.7109375" style="325" customWidth="1"/>
    <col min="25" max="25" width="10.28125" style="325" customWidth="1"/>
    <col min="26" max="26" width="11.28125" style="326" customWidth="1"/>
    <col min="27" max="27" width="10.28125" style="326" customWidth="1"/>
    <col min="28" max="28" width="8.28125" style="326" customWidth="1"/>
    <col min="29" max="29" width="15.28125" style="326" customWidth="1"/>
    <col min="30" max="30" width="12.57421875" style="326" customWidth="1"/>
    <col min="31" max="31" width="7.28125" style="326" customWidth="1"/>
    <col min="32" max="32" width="13.28125" style="326" customWidth="1"/>
    <col min="33" max="33" width="9.28125" style="326" customWidth="1"/>
    <col min="34" max="34" width="6.7109375" style="326" customWidth="1"/>
    <col min="35" max="35" width="11.00390625" style="326" customWidth="1"/>
    <col min="36" max="36" width="10.7109375" style="326" customWidth="1"/>
    <col min="37" max="37" width="13.57421875" style="327" customWidth="1"/>
    <col min="38" max="38" width="10.57421875" style="325" customWidth="1"/>
    <col min="39" max="39" width="12.421875" style="326" customWidth="1"/>
    <col min="40" max="41" width="10.28125" style="326" customWidth="1"/>
    <col min="42" max="43" width="9.00390625" style="326" customWidth="1"/>
    <col min="44" max="44" width="12.28125" style="328" customWidth="1"/>
    <col min="45" max="46" width="9.7109375" style="302" bestFit="1" customWidth="1"/>
    <col min="47" max="47" width="11.7109375" style="303" customWidth="1"/>
    <col min="48" max="16384" width="9.28125" style="303" customWidth="1"/>
  </cols>
  <sheetData>
    <row r="1" spans="1:46" s="235" customFormat="1" ht="12.75">
      <c r="A1" s="222"/>
      <c r="B1" s="222"/>
      <c r="C1" s="223"/>
      <c r="D1" s="224"/>
      <c r="E1" s="329"/>
      <c r="F1" s="225"/>
      <c r="G1" s="226"/>
      <c r="H1" s="227"/>
      <c r="I1" s="227"/>
      <c r="J1" s="226"/>
      <c r="K1" s="228"/>
      <c r="L1" s="228"/>
      <c r="M1" s="228"/>
      <c r="N1" s="228"/>
      <c r="O1" s="228"/>
      <c r="P1" s="228"/>
      <c r="Q1" s="228"/>
      <c r="R1" s="228"/>
      <c r="S1" s="229"/>
      <c r="T1" s="230"/>
      <c r="U1" s="230"/>
      <c r="V1" s="229"/>
      <c r="W1" s="231"/>
      <c r="X1" s="231"/>
      <c r="Y1" s="231"/>
      <c r="Z1" s="232"/>
      <c r="AA1" s="232"/>
      <c r="AB1" s="232"/>
      <c r="AC1" s="232"/>
      <c r="AD1" s="232"/>
      <c r="AE1" s="232"/>
      <c r="AF1" s="232"/>
      <c r="AG1" s="232"/>
      <c r="AH1" s="232"/>
      <c r="AI1" s="232"/>
      <c r="AJ1" s="232"/>
      <c r="AK1" s="233"/>
      <c r="AL1" s="231"/>
      <c r="AM1" s="232"/>
      <c r="AN1" s="232"/>
      <c r="AO1" s="232"/>
      <c r="AP1" s="232"/>
      <c r="AQ1" s="232"/>
      <c r="AR1" s="234"/>
      <c r="AS1" s="236"/>
      <c r="AT1" s="236"/>
    </row>
    <row r="2" spans="1:46" s="235" customFormat="1" ht="13.5" customHeight="1" thickBot="1">
      <c r="A2" s="237"/>
      <c r="B2" s="941" t="s">
        <v>489</v>
      </c>
      <c r="C2" s="941"/>
      <c r="D2" s="941"/>
      <c r="E2" s="941"/>
      <c r="F2" s="941"/>
      <c r="G2" s="941"/>
      <c r="H2" s="941"/>
      <c r="I2" s="941"/>
      <c r="J2" s="941"/>
      <c r="K2" s="941"/>
      <c r="L2" s="941"/>
      <c r="M2" s="941"/>
      <c r="N2" s="941"/>
      <c r="O2" s="941"/>
      <c r="P2" s="941"/>
      <c r="Q2" s="238"/>
      <c r="R2" s="238"/>
      <c r="S2" s="237"/>
      <c r="T2" s="238"/>
      <c r="U2" s="238"/>
      <c r="V2" s="237"/>
      <c r="W2" s="237"/>
      <c r="X2" s="237"/>
      <c r="Y2" s="237"/>
      <c r="Z2" s="238"/>
      <c r="AA2" s="238"/>
      <c r="AB2" s="238"/>
      <c r="AC2" s="238"/>
      <c r="AD2" s="238"/>
      <c r="AE2" s="238"/>
      <c r="AF2" s="238"/>
      <c r="AG2" s="238"/>
      <c r="AH2" s="238"/>
      <c r="AI2" s="238"/>
      <c r="AJ2" s="238"/>
      <c r="AK2" s="237"/>
      <c r="AL2" s="231"/>
      <c r="AM2" s="232"/>
      <c r="AN2" s="232"/>
      <c r="AO2" s="232"/>
      <c r="AP2" s="232"/>
      <c r="AQ2" s="232"/>
      <c r="AR2" s="234"/>
      <c r="AS2" s="236"/>
      <c r="AT2" s="236"/>
    </row>
    <row r="3" spans="1:46" s="239" customFormat="1" ht="24" customHeight="1">
      <c r="A3" s="1197"/>
      <c r="B3" s="1198"/>
      <c r="C3" s="1198"/>
      <c r="D3" s="1198"/>
      <c r="E3" s="1199"/>
      <c r="F3" s="784"/>
      <c r="G3" s="1200" t="s">
        <v>1268</v>
      </c>
      <c r="H3" s="1201"/>
      <c r="I3" s="1201"/>
      <c r="J3" s="1202"/>
      <c r="K3" s="1203"/>
      <c r="L3" s="1201"/>
      <c r="M3" s="1201"/>
      <c r="N3" s="1201"/>
      <c r="O3" s="1201"/>
      <c r="P3" s="1201"/>
      <c r="Q3" s="1201"/>
      <c r="R3" s="1201"/>
      <c r="S3" s="1201"/>
      <c r="T3" s="1201"/>
      <c r="U3" s="1201"/>
      <c r="V3" s="1201"/>
      <c r="W3" s="1201"/>
      <c r="X3" s="1201"/>
      <c r="Y3" s="1201"/>
      <c r="Z3" s="1201"/>
      <c r="AA3" s="1201"/>
      <c r="AB3" s="1202"/>
      <c r="AC3" s="966" t="s">
        <v>1039</v>
      </c>
      <c r="AD3" s="967"/>
      <c r="AE3" s="967"/>
      <c r="AF3" s="967"/>
      <c r="AG3" s="967"/>
      <c r="AH3" s="967"/>
      <c r="AI3" s="967"/>
      <c r="AJ3" s="968"/>
      <c r="AK3" s="1192" t="s">
        <v>1040</v>
      </c>
      <c r="AL3" s="1192" t="s">
        <v>1041</v>
      </c>
      <c r="AM3" s="966" t="s">
        <v>1042</v>
      </c>
      <c r="AN3" s="967"/>
      <c r="AO3" s="967"/>
      <c r="AP3" s="967"/>
      <c r="AQ3" s="967"/>
      <c r="AR3" s="1172"/>
      <c r="AS3" s="240"/>
      <c r="AT3" s="240"/>
    </row>
    <row r="4" spans="1:46" s="242" customFormat="1" ht="18" customHeight="1">
      <c r="A4" s="1177" t="s">
        <v>1043</v>
      </c>
      <c r="B4" s="1180" t="s">
        <v>1044</v>
      </c>
      <c r="C4" s="1181"/>
      <c r="D4" s="1180" t="s">
        <v>1045</v>
      </c>
      <c r="E4" s="1181"/>
      <c r="F4" s="241"/>
      <c r="G4" s="1186" t="s">
        <v>1046</v>
      </c>
      <c r="H4" s="1187"/>
      <c r="I4" s="1187"/>
      <c r="J4" s="1188"/>
      <c r="K4" s="1186" t="s">
        <v>1047</v>
      </c>
      <c r="L4" s="1187"/>
      <c r="M4" s="1187"/>
      <c r="N4" s="1187"/>
      <c r="O4" s="1187"/>
      <c r="P4" s="1187"/>
      <c r="Q4" s="1187"/>
      <c r="R4" s="1187"/>
      <c r="S4" s="1188"/>
      <c r="T4" s="1169" t="s">
        <v>1048</v>
      </c>
      <c r="U4" s="1170"/>
      <c r="V4" s="1170"/>
      <c r="W4" s="1170"/>
      <c r="X4" s="1170"/>
      <c r="Y4" s="1171"/>
      <c r="Z4" s="972" t="s">
        <v>1049</v>
      </c>
      <c r="AA4" s="973"/>
      <c r="AB4" s="974"/>
      <c r="AC4" s="969"/>
      <c r="AD4" s="970"/>
      <c r="AE4" s="970"/>
      <c r="AF4" s="970"/>
      <c r="AG4" s="970"/>
      <c r="AH4" s="970"/>
      <c r="AI4" s="970"/>
      <c r="AJ4" s="971"/>
      <c r="AK4" s="1193"/>
      <c r="AL4" s="1193"/>
      <c r="AM4" s="969"/>
      <c r="AN4" s="970"/>
      <c r="AO4" s="970"/>
      <c r="AP4" s="970"/>
      <c r="AQ4" s="970"/>
      <c r="AR4" s="1173"/>
      <c r="AS4" s="243"/>
      <c r="AT4" s="243"/>
    </row>
    <row r="5" spans="1:46" s="242" customFormat="1" ht="16.5" customHeight="1">
      <c r="A5" s="1178"/>
      <c r="B5" s="1182"/>
      <c r="C5" s="1183"/>
      <c r="D5" s="1182"/>
      <c r="E5" s="1183"/>
      <c r="F5" s="1167" t="s">
        <v>1050</v>
      </c>
      <c r="G5" s="1189"/>
      <c r="H5" s="1190"/>
      <c r="I5" s="1190"/>
      <c r="J5" s="1191"/>
      <c r="K5" s="1189"/>
      <c r="L5" s="1190"/>
      <c r="M5" s="1190"/>
      <c r="N5" s="1190"/>
      <c r="O5" s="1190"/>
      <c r="P5" s="1190"/>
      <c r="Q5" s="1190"/>
      <c r="R5" s="1190"/>
      <c r="S5" s="1191"/>
      <c r="T5" s="1169" t="s">
        <v>1051</v>
      </c>
      <c r="U5" s="1170"/>
      <c r="V5" s="1171"/>
      <c r="W5" s="1194" t="s">
        <v>1052</v>
      </c>
      <c r="X5" s="1195"/>
      <c r="Y5" s="1196"/>
      <c r="Z5" s="975"/>
      <c r="AA5" s="976"/>
      <c r="AB5" s="977"/>
      <c r="AC5" s="978" t="s">
        <v>1053</v>
      </c>
      <c r="AD5" s="978" t="s">
        <v>1054</v>
      </c>
      <c r="AE5" s="927" t="s">
        <v>1055</v>
      </c>
      <c r="AF5" s="928"/>
      <c r="AG5" s="929"/>
      <c r="AH5" s="927" t="s">
        <v>1056</v>
      </c>
      <c r="AI5" s="928"/>
      <c r="AJ5" s="929"/>
      <c r="AK5" s="1193"/>
      <c r="AL5" s="1193"/>
      <c r="AM5" s="1174"/>
      <c r="AN5" s="1175"/>
      <c r="AO5" s="1175"/>
      <c r="AP5" s="1175"/>
      <c r="AQ5" s="1175"/>
      <c r="AR5" s="1176"/>
      <c r="AS5" s="243"/>
      <c r="AT5" s="243"/>
    </row>
    <row r="6" spans="1:46" s="244" customFormat="1" ht="38.25" customHeight="1">
      <c r="A6" s="1179"/>
      <c r="B6" s="1184"/>
      <c r="C6" s="1185"/>
      <c r="D6" s="1184"/>
      <c r="E6" s="1185"/>
      <c r="F6" s="1168"/>
      <c r="G6" s="785" t="s">
        <v>1057</v>
      </c>
      <c r="H6" s="746" t="s">
        <v>1058</v>
      </c>
      <c r="I6" s="746" t="s">
        <v>1059</v>
      </c>
      <c r="J6" s="746" t="s">
        <v>1060</v>
      </c>
      <c r="K6" s="746" t="s">
        <v>1061</v>
      </c>
      <c r="L6" s="746" t="s">
        <v>1062</v>
      </c>
      <c r="M6" s="746" t="s">
        <v>1063</v>
      </c>
      <c r="N6" s="746" t="s">
        <v>1064</v>
      </c>
      <c r="O6" s="746" t="s">
        <v>1065</v>
      </c>
      <c r="P6" s="746" t="s">
        <v>1066</v>
      </c>
      <c r="Q6" s="746" t="s">
        <v>1067</v>
      </c>
      <c r="R6" s="746"/>
      <c r="S6" s="747" t="s">
        <v>1068</v>
      </c>
      <c r="T6" s="746" t="s">
        <v>1069</v>
      </c>
      <c r="U6" s="785" t="s">
        <v>1070</v>
      </c>
      <c r="V6" s="785" t="s">
        <v>1071</v>
      </c>
      <c r="W6" s="746" t="s">
        <v>1072</v>
      </c>
      <c r="X6" s="785" t="s">
        <v>1073</v>
      </c>
      <c r="Y6" s="785" t="s">
        <v>1074</v>
      </c>
      <c r="Z6" s="766" t="s">
        <v>1075</v>
      </c>
      <c r="AA6" s="766" t="s">
        <v>1076</v>
      </c>
      <c r="AB6" s="766" t="s">
        <v>1077</v>
      </c>
      <c r="AC6" s="979"/>
      <c r="AD6" s="979"/>
      <c r="AE6" s="766" t="s">
        <v>1078</v>
      </c>
      <c r="AF6" s="766" t="s">
        <v>1079</v>
      </c>
      <c r="AG6" s="766" t="s">
        <v>1080</v>
      </c>
      <c r="AH6" s="766" t="s">
        <v>1081</v>
      </c>
      <c r="AI6" s="766" t="s">
        <v>1082</v>
      </c>
      <c r="AJ6" s="766" t="s">
        <v>1083</v>
      </c>
      <c r="AK6" s="979"/>
      <c r="AL6" s="979"/>
      <c r="AM6" s="594" t="s">
        <v>1084</v>
      </c>
      <c r="AN6" s="595" t="s">
        <v>1085</v>
      </c>
      <c r="AO6" s="595" t="s">
        <v>490</v>
      </c>
      <c r="AP6" s="595" t="s">
        <v>1086</v>
      </c>
      <c r="AQ6" s="766" t="s">
        <v>1087</v>
      </c>
      <c r="AR6" s="767" t="s">
        <v>1088</v>
      </c>
      <c r="AS6" s="245"/>
      <c r="AT6" s="245"/>
    </row>
    <row r="7" spans="1:46" s="249" customFormat="1" ht="12.75">
      <c r="A7" s="786" t="s">
        <v>1089</v>
      </c>
      <c r="B7" s="787" t="s">
        <v>1090</v>
      </c>
      <c r="C7" s="246" t="s">
        <v>1091</v>
      </c>
      <c r="D7" s="787" t="s">
        <v>1092</v>
      </c>
      <c r="E7" s="330" t="s">
        <v>1093</v>
      </c>
      <c r="F7" s="788"/>
      <c r="G7" s="247">
        <v>1</v>
      </c>
      <c r="H7" s="247">
        <v>2</v>
      </c>
      <c r="I7" s="247">
        <v>3</v>
      </c>
      <c r="J7" s="247">
        <v>4</v>
      </c>
      <c r="K7" s="247">
        <v>5</v>
      </c>
      <c r="L7" s="247">
        <v>6</v>
      </c>
      <c r="M7" s="247">
        <v>7</v>
      </c>
      <c r="N7" s="247">
        <v>8</v>
      </c>
      <c r="O7" s="247">
        <v>9</v>
      </c>
      <c r="P7" s="247">
        <v>10</v>
      </c>
      <c r="Q7" s="247">
        <v>11</v>
      </c>
      <c r="R7" s="247">
        <v>12</v>
      </c>
      <c r="S7" s="247">
        <v>13</v>
      </c>
      <c r="T7" s="247">
        <v>14</v>
      </c>
      <c r="U7" s="247">
        <v>15</v>
      </c>
      <c r="V7" s="247">
        <v>16</v>
      </c>
      <c r="W7" s="247">
        <v>17</v>
      </c>
      <c r="X7" s="247">
        <v>18</v>
      </c>
      <c r="Y7" s="247">
        <v>19</v>
      </c>
      <c r="Z7" s="247">
        <v>20</v>
      </c>
      <c r="AA7" s="247">
        <v>21</v>
      </c>
      <c r="AB7" s="247">
        <v>22</v>
      </c>
      <c r="AC7" s="247">
        <v>23</v>
      </c>
      <c r="AD7" s="247">
        <v>24</v>
      </c>
      <c r="AE7" s="247">
        <v>25</v>
      </c>
      <c r="AF7" s="247">
        <v>26</v>
      </c>
      <c r="AG7" s="247">
        <v>27</v>
      </c>
      <c r="AH7" s="247">
        <v>28</v>
      </c>
      <c r="AI7" s="247">
        <v>29</v>
      </c>
      <c r="AJ7" s="247">
        <v>30</v>
      </c>
      <c r="AK7" s="247">
        <v>31</v>
      </c>
      <c r="AL7" s="247">
        <v>32</v>
      </c>
      <c r="AM7" s="247">
        <v>33</v>
      </c>
      <c r="AN7" s="247">
        <v>34</v>
      </c>
      <c r="AO7" s="247">
        <v>35</v>
      </c>
      <c r="AP7" s="247">
        <v>36</v>
      </c>
      <c r="AQ7" s="247">
        <v>37</v>
      </c>
      <c r="AR7" s="247">
        <v>38</v>
      </c>
      <c r="AS7" s="250"/>
      <c r="AT7" s="250"/>
    </row>
    <row r="8" spans="1:46" s="249" customFormat="1" ht="32.25" customHeight="1">
      <c r="A8" s="1163" t="s">
        <v>491</v>
      </c>
      <c r="B8" s="1164"/>
      <c r="C8" s="1164"/>
      <c r="D8" s="1164"/>
      <c r="E8" s="1165"/>
      <c r="F8" s="404"/>
      <c r="G8" s="251"/>
      <c r="H8" s="251"/>
      <c r="I8" s="251"/>
      <c r="J8" s="251"/>
      <c r="K8" s="251"/>
      <c r="L8" s="251"/>
      <c r="M8" s="251"/>
      <c r="N8" s="251"/>
      <c r="O8" s="251"/>
      <c r="P8" s="251"/>
      <c r="Q8" s="251"/>
      <c r="R8" s="251"/>
      <c r="S8" s="252"/>
      <c r="T8" s="251"/>
      <c r="U8" s="251"/>
      <c r="V8" s="252"/>
      <c r="W8" s="251"/>
      <c r="X8" s="251"/>
      <c r="Y8" s="251"/>
      <c r="Z8" s="251"/>
      <c r="AA8" s="251"/>
      <c r="AB8" s="251"/>
      <c r="AC8" s="251"/>
      <c r="AD8" s="251"/>
      <c r="AE8" s="251"/>
      <c r="AF8" s="251"/>
      <c r="AG8" s="251"/>
      <c r="AH8" s="251"/>
      <c r="AI8" s="251"/>
      <c r="AJ8" s="251"/>
      <c r="AK8" s="251"/>
      <c r="AL8" s="251"/>
      <c r="AM8" s="251"/>
      <c r="AN8" s="251"/>
      <c r="AO8" s="251"/>
      <c r="AP8" s="251"/>
      <c r="AQ8" s="251"/>
      <c r="AR8" s="251"/>
      <c r="AS8" s="250"/>
      <c r="AT8" s="250"/>
    </row>
    <row r="9" spans="1:46" s="263" customFormat="1" ht="93.75" customHeight="1">
      <c r="A9" s="918"/>
      <c r="B9" s="917">
        <v>4.3</v>
      </c>
      <c r="C9" s="919" t="s">
        <v>1094</v>
      </c>
      <c r="D9" s="254" t="s">
        <v>1095</v>
      </c>
      <c r="E9" s="253" t="s">
        <v>493</v>
      </c>
      <c r="F9" s="254" t="s">
        <v>494</v>
      </c>
      <c r="G9" s="256"/>
      <c r="H9" s="256"/>
      <c r="I9" s="256"/>
      <c r="J9" s="257">
        <f>G9*H9*I9</f>
        <v>0</v>
      </c>
      <c r="K9" s="256">
        <v>9</v>
      </c>
      <c r="L9" s="256">
        <v>3</v>
      </c>
      <c r="M9" s="256">
        <v>20</v>
      </c>
      <c r="N9" s="256">
        <v>250</v>
      </c>
      <c r="O9" s="256">
        <v>20</v>
      </c>
      <c r="P9" s="256">
        <v>30</v>
      </c>
      <c r="Q9" s="256">
        <v>20</v>
      </c>
      <c r="R9" s="256"/>
      <c r="S9" s="258">
        <f>(K9*L9*N9)+(K9*L9*M9*O9)+(K9*L9*M9*P9)+(K9*M9*Q9)+(K9*L9*R9)</f>
        <v>37350</v>
      </c>
      <c r="T9" s="256"/>
      <c r="U9" s="256"/>
      <c r="V9" s="259">
        <v>50000</v>
      </c>
      <c r="W9" s="256" t="s">
        <v>1096</v>
      </c>
      <c r="X9" s="256"/>
      <c r="Y9" s="259">
        <f>300000-S9</f>
        <v>262650</v>
      </c>
      <c r="Z9" s="256"/>
      <c r="AA9" s="256"/>
      <c r="AB9" s="260">
        <f>Z9*AA9</f>
        <v>0</v>
      </c>
      <c r="AC9" s="261"/>
      <c r="AD9" s="261"/>
      <c r="AE9" s="256"/>
      <c r="AF9" s="256"/>
      <c r="AG9" s="260">
        <f>AE9*AF9</f>
        <v>0</v>
      </c>
      <c r="AH9" s="256"/>
      <c r="AI9" s="256"/>
      <c r="AJ9" s="260">
        <f>AH9*AI9</f>
        <v>0</v>
      </c>
      <c r="AK9" s="266"/>
      <c r="AL9" s="259">
        <f aca="true" t="shared" si="0" ref="AL9:AL15">J9+S9+V9+Y9+AB9+AG9+AJ9+AK9+AC9+AD9</f>
        <v>350000</v>
      </c>
      <c r="AM9" s="256"/>
      <c r="AN9" s="267">
        <v>300000</v>
      </c>
      <c r="AO9" s="267">
        <v>50000</v>
      </c>
      <c r="AP9" s="256"/>
      <c r="AQ9" s="256"/>
      <c r="AR9" s="262">
        <f aca="true" t="shared" si="1" ref="AR9:AR15">AL9-AM9-AN9-AO9-AP9-AQ9</f>
        <v>0</v>
      </c>
      <c r="AS9" s="265"/>
      <c r="AT9" s="265"/>
    </row>
    <row r="10" spans="1:46" s="263" customFormat="1" ht="54" customHeight="1">
      <c r="A10" s="918"/>
      <c r="B10" s="918"/>
      <c r="C10" s="919"/>
      <c r="D10" s="254" t="s">
        <v>1097</v>
      </c>
      <c r="E10" s="358" t="s">
        <v>495</v>
      </c>
      <c r="F10" s="254" t="s">
        <v>1269</v>
      </c>
      <c r="G10" s="256"/>
      <c r="H10" s="256"/>
      <c r="I10" s="256"/>
      <c r="J10" s="257"/>
      <c r="K10" s="256"/>
      <c r="L10" s="256"/>
      <c r="M10" s="256"/>
      <c r="N10" s="256"/>
      <c r="O10" s="256"/>
      <c r="P10" s="256"/>
      <c r="Q10" s="256"/>
      <c r="R10" s="256"/>
      <c r="S10" s="258">
        <f>(K10*L10*N10)+(K10*L10*M10*O10)+(K10*L10*M10*P10)+(K10*M10*Q10)+(K10*L10*R10)</f>
        <v>0</v>
      </c>
      <c r="T10" s="256"/>
      <c r="U10" s="256"/>
      <c r="V10" s="259"/>
      <c r="W10" s="256"/>
      <c r="X10" s="256"/>
      <c r="Y10" s="259">
        <v>200000</v>
      </c>
      <c r="Z10" s="256"/>
      <c r="AA10" s="256"/>
      <c r="AB10" s="260"/>
      <c r="AC10" s="261"/>
      <c r="AD10" s="261"/>
      <c r="AE10" s="256"/>
      <c r="AF10" s="256"/>
      <c r="AG10" s="260"/>
      <c r="AH10" s="256"/>
      <c r="AI10" s="256"/>
      <c r="AJ10" s="260"/>
      <c r="AK10" s="266"/>
      <c r="AL10" s="259">
        <f t="shared" si="0"/>
        <v>200000</v>
      </c>
      <c r="AM10" s="256"/>
      <c r="AN10" s="267"/>
      <c r="AO10" s="267">
        <v>200000</v>
      </c>
      <c r="AP10" s="262"/>
      <c r="AQ10" s="262"/>
      <c r="AR10" s="262">
        <f t="shared" si="1"/>
        <v>0</v>
      </c>
      <c r="AS10" s="265"/>
      <c r="AT10" s="265"/>
    </row>
    <row r="11" spans="1:46" s="263" customFormat="1" ht="57.75" customHeight="1">
      <c r="A11" s="918"/>
      <c r="B11" s="918"/>
      <c r="C11" s="919"/>
      <c r="D11" s="254" t="s">
        <v>1098</v>
      </c>
      <c r="E11" s="358" t="s">
        <v>496</v>
      </c>
      <c r="F11" s="254" t="s">
        <v>497</v>
      </c>
      <c r="G11" s="256"/>
      <c r="H11" s="256"/>
      <c r="I11" s="256"/>
      <c r="J11" s="257"/>
      <c r="K11" s="256">
        <v>6</v>
      </c>
      <c r="L11" s="256">
        <v>5</v>
      </c>
      <c r="M11" s="256">
        <v>20</v>
      </c>
      <c r="N11" s="256">
        <v>250</v>
      </c>
      <c r="O11" s="256">
        <v>20</v>
      </c>
      <c r="P11" s="256">
        <v>30</v>
      </c>
      <c r="Q11" s="256">
        <v>20</v>
      </c>
      <c r="R11" s="256"/>
      <c r="S11" s="258">
        <f>(K11*L11*N11)+(K11*L11*M11*O11)+(K11*L11*M11*P11)+(K11*M11*Q11)+(K11*L11*R11)</f>
        <v>39900</v>
      </c>
      <c r="T11" s="256"/>
      <c r="U11" s="256"/>
      <c r="V11" s="259"/>
      <c r="W11" s="256"/>
      <c r="X11" s="256"/>
      <c r="Y11" s="259"/>
      <c r="Z11" s="256"/>
      <c r="AA11" s="256"/>
      <c r="AB11" s="260"/>
      <c r="AC11" s="261"/>
      <c r="AD11" s="261"/>
      <c r="AE11" s="256"/>
      <c r="AF11" s="256"/>
      <c r="AG11" s="260"/>
      <c r="AH11" s="256"/>
      <c r="AI11" s="256"/>
      <c r="AJ11" s="260"/>
      <c r="AK11" s="266"/>
      <c r="AL11" s="259">
        <f t="shared" si="0"/>
        <v>39900</v>
      </c>
      <c r="AM11" s="256"/>
      <c r="AN11" s="267"/>
      <c r="AO11" s="267">
        <v>15000</v>
      </c>
      <c r="AP11" s="262"/>
      <c r="AQ11" s="262"/>
      <c r="AR11" s="262">
        <f t="shared" si="1"/>
        <v>24900</v>
      </c>
      <c r="AS11" s="265"/>
      <c r="AT11" s="265"/>
    </row>
    <row r="12" spans="1:46" s="263" customFormat="1" ht="45.75" customHeight="1">
      <c r="A12" s="1166"/>
      <c r="B12" s="1166"/>
      <c r="C12" s="919"/>
      <c r="D12" s="254" t="s">
        <v>1099</v>
      </c>
      <c r="E12" s="253" t="s">
        <v>498</v>
      </c>
      <c r="F12" s="405"/>
      <c r="G12" s="256"/>
      <c r="H12" s="256"/>
      <c r="I12" s="256"/>
      <c r="J12" s="257">
        <f>G12*H12*I12</f>
        <v>0</v>
      </c>
      <c r="K12" s="256"/>
      <c r="L12" s="256"/>
      <c r="M12" s="256"/>
      <c r="N12" s="256"/>
      <c r="O12" s="256"/>
      <c r="P12" s="256"/>
      <c r="Q12" s="256"/>
      <c r="R12" s="256"/>
      <c r="S12" s="258">
        <f>(K12*L12*N12)+(K12*L12*M12*O12)+(K12*L12*M12*P12)+(K12*M12*Q12)+(K12*L12*R12)</f>
        <v>0</v>
      </c>
      <c r="T12" s="256"/>
      <c r="U12" s="256"/>
      <c r="V12" s="259">
        <v>50000</v>
      </c>
      <c r="W12" s="256"/>
      <c r="X12" s="256"/>
      <c r="Y12" s="259">
        <v>50000</v>
      </c>
      <c r="Z12" s="256"/>
      <c r="AA12" s="256"/>
      <c r="AB12" s="260">
        <f>Z12*AA12</f>
        <v>0</v>
      </c>
      <c r="AC12" s="261"/>
      <c r="AD12" s="261"/>
      <c r="AE12" s="256"/>
      <c r="AF12" s="256"/>
      <c r="AG12" s="260">
        <v>100000</v>
      </c>
      <c r="AH12" s="256"/>
      <c r="AI12" s="256"/>
      <c r="AJ12" s="260">
        <f>AH12*AI12</f>
        <v>0</v>
      </c>
      <c r="AK12" s="261"/>
      <c r="AL12" s="259">
        <f t="shared" si="0"/>
        <v>200000</v>
      </c>
      <c r="AM12" s="256"/>
      <c r="AN12" s="267">
        <v>200000</v>
      </c>
      <c r="AO12" s="267"/>
      <c r="AP12" s="256"/>
      <c r="AQ12" s="256"/>
      <c r="AR12" s="262">
        <f t="shared" si="1"/>
        <v>0</v>
      </c>
      <c r="AS12" s="265"/>
      <c r="AT12" s="265"/>
    </row>
    <row r="13" spans="1:46" s="263" customFormat="1" ht="22.5" customHeight="1">
      <c r="A13" s="479"/>
      <c r="B13" s="479"/>
      <c r="C13" s="480"/>
      <c r="D13" s="481"/>
      <c r="E13" s="480"/>
      <c r="F13" s="482"/>
      <c r="G13" s="483"/>
      <c r="H13" s="483"/>
      <c r="I13" s="483"/>
      <c r="J13" s="484">
        <f aca="true" t="shared" si="2" ref="J13:AR13">SUM(J9:J12)</f>
        <v>0</v>
      </c>
      <c r="K13" s="484">
        <f t="shared" si="2"/>
        <v>15</v>
      </c>
      <c r="L13" s="484">
        <f t="shared" si="2"/>
        <v>8</v>
      </c>
      <c r="M13" s="484">
        <f t="shared" si="2"/>
        <v>40</v>
      </c>
      <c r="N13" s="484">
        <f t="shared" si="2"/>
        <v>500</v>
      </c>
      <c r="O13" s="484">
        <f t="shared" si="2"/>
        <v>40</v>
      </c>
      <c r="P13" s="484">
        <f t="shared" si="2"/>
        <v>60</v>
      </c>
      <c r="Q13" s="484">
        <f t="shared" si="2"/>
        <v>40</v>
      </c>
      <c r="R13" s="484">
        <f t="shared" si="2"/>
        <v>0</v>
      </c>
      <c r="S13" s="484">
        <f t="shared" si="2"/>
        <v>77250</v>
      </c>
      <c r="T13" s="484">
        <f t="shared" si="2"/>
        <v>0</v>
      </c>
      <c r="U13" s="484">
        <f t="shared" si="2"/>
        <v>0</v>
      </c>
      <c r="V13" s="484">
        <f t="shared" si="2"/>
        <v>100000</v>
      </c>
      <c r="W13" s="484">
        <f t="shared" si="2"/>
        <v>0</v>
      </c>
      <c r="X13" s="484">
        <f t="shared" si="2"/>
        <v>0</v>
      </c>
      <c r="Y13" s="484">
        <f t="shared" si="2"/>
        <v>512650</v>
      </c>
      <c r="Z13" s="484">
        <f t="shared" si="2"/>
        <v>0</v>
      </c>
      <c r="AA13" s="484">
        <f t="shared" si="2"/>
        <v>0</v>
      </c>
      <c r="AB13" s="484">
        <f t="shared" si="2"/>
        <v>0</v>
      </c>
      <c r="AC13" s="484">
        <f t="shared" si="2"/>
        <v>0</v>
      </c>
      <c r="AD13" s="484">
        <f t="shared" si="2"/>
        <v>0</v>
      </c>
      <c r="AE13" s="484">
        <f t="shared" si="2"/>
        <v>0</v>
      </c>
      <c r="AF13" s="484">
        <f t="shared" si="2"/>
        <v>0</v>
      </c>
      <c r="AG13" s="484">
        <f t="shared" si="2"/>
        <v>100000</v>
      </c>
      <c r="AH13" s="484">
        <f t="shared" si="2"/>
        <v>0</v>
      </c>
      <c r="AI13" s="484">
        <f t="shared" si="2"/>
        <v>0</v>
      </c>
      <c r="AJ13" s="484">
        <f t="shared" si="2"/>
        <v>0</v>
      </c>
      <c r="AK13" s="484">
        <f t="shared" si="2"/>
        <v>0</v>
      </c>
      <c r="AL13" s="484">
        <f t="shared" si="2"/>
        <v>789900</v>
      </c>
      <c r="AM13" s="484">
        <f t="shared" si="2"/>
        <v>0</v>
      </c>
      <c r="AN13" s="484">
        <f t="shared" si="2"/>
        <v>500000</v>
      </c>
      <c r="AO13" s="484">
        <f t="shared" si="2"/>
        <v>265000</v>
      </c>
      <c r="AP13" s="484">
        <f t="shared" si="2"/>
        <v>0</v>
      </c>
      <c r="AQ13" s="484">
        <f t="shared" si="2"/>
        <v>0</v>
      </c>
      <c r="AR13" s="484">
        <f t="shared" si="2"/>
        <v>24900</v>
      </c>
      <c r="AS13" s="265"/>
      <c r="AT13" s="265"/>
    </row>
    <row r="14" spans="1:46" s="249" customFormat="1" ht="37.5" customHeight="1">
      <c r="A14" s="1162" t="s">
        <v>499</v>
      </c>
      <c r="B14" s="1162"/>
      <c r="C14" s="1162"/>
      <c r="D14" s="1162"/>
      <c r="E14" s="1162"/>
      <c r="F14" s="251"/>
      <c r="G14" s="251"/>
      <c r="H14" s="251"/>
      <c r="I14" s="251"/>
      <c r="J14" s="251"/>
      <c r="K14" s="251"/>
      <c r="L14" s="251"/>
      <c r="M14" s="251"/>
      <c r="N14" s="251"/>
      <c r="O14" s="251"/>
      <c r="P14" s="251"/>
      <c r="Q14" s="251"/>
      <c r="R14" s="251"/>
      <c r="S14" s="251"/>
      <c r="T14" s="251"/>
      <c r="U14" s="251"/>
      <c r="V14" s="251"/>
      <c r="W14" s="251"/>
      <c r="X14" s="251"/>
      <c r="Y14" s="251"/>
      <c r="Z14" s="251"/>
      <c r="AA14" s="251"/>
      <c r="AB14" s="251"/>
      <c r="AC14" s="251"/>
      <c r="AD14" s="251"/>
      <c r="AE14" s="251"/>
      <c r="AF14" s="251"/>
      <c r="AG14" s="251"/>
      <c r="AH14" s="251"/>
      <c r="AI14" s="251"/>
      <c r="AJ14" s="251"/>
      <c r="AK14" s="251"/>
      <c r="AL14" s="251"/>
      <c r="AM14" s="251"/>
      <c r="AN14" s="251"/>
      <c r="AO14" s="251"/>
      <c r="AP14" s="251"/>
      <c r="AQ14" s="251"/>
      <c r="AR14" s="251"/>
      <c r="AS14" s="250"/>
      <c r="AT14" s="250"/>
    </row>
    <row r="15" spans="1:44" ht="48" customHeight="1">
      <c r="A15" s="334">
        <v>5</v>
      </c>
      <c r="B15" s="334">
        <v>5.3</v>
      </c>
      <c r="C15" s="418" t="s">
        <v>500</v>
      </c>
      <c r="D15" s="269"/>
      <c r="E15" s="253" t="s">
        <v>501</v>
      </c>
      <c r="F15" s="253"/>
      <c r="G15" s="419"/>
      <c r="H15" s="420"/>
      <c r="I15" s="420"/>
      <c r="J15" s="257">
        <f>G15*H15*I15</f>
        <v>0</v>
      </c>
      <c r="K15" s="272"/>
      <c r="L15" s="272"/>
      <c r="M15" s="272"/>
      <c r="N15" s="272"/>
      <c r="O15" s="272"/>
      <c r="P15" s="272"/>
      <c r="Q15" s="272"/>
      <c r="R15" s="272"/>
      <c r="S15" s="258">
        <f>322*500</f>
        <v>161000</v>
      </c>
      <c r="T15" s="273"/>
      <c r="U15" s="273"/>
      <c r="V15" s="259">
        <f>T15*U15</f>
        <v>0</v>
      </c>
      <c r="W15" s="274"/>
      <c r="X15" s="274"/>
      <c r="Y15" s="259">
        <f>W15*X15</f>
        <v>0</v>
      </c>
      <c r="Z15" s="275"/>
      <c r="AA15" s="275"/>
      <c r="AB15" s="260">
        <f>Z15*AA15</f>
        <v>0</v>
      </c>
      <c r="AC15" s="260">
        <f>322*15000</f>
        <v>4830000</v>
      </c>
      <c r="AD15" s="260">
        <f>(61*20000)+(322*1000)</f>
        <v>1542000</v>
      </c>
      <c r="AE15" s="419">
        <v>322</v>
      </c>
      <c r="AF15" s="419">
        <v>2500</v>
      </c>
      <c r="AG15" s="260">
        <f>AE15*AF15</f>
        <v>805000</v>
      </c>
      <c r="AH15" s="419"/>
      <c r="AI15" s="419"/>
      <c r="AJ15" s="260">
        <f>AH15*AI15</f>
        <v>0</v>
      </c>
      <c r="AK15" s="259"/>
      <c r="AL15" s="259">
        <f t="shared" si="0"/>
        <v>7338000</v>
      </c>
      <c r="AM15" s="276">
        <v>4300000</v>
      </c>
      <c r="AN15" s="276"/>
      <c r="AO15" s="276"/>
      <c r="AP15" s="276"/>
      <c r="AQ15" s="276"/>
      <c r="AR15" s="262">
        <f t="shared" si="1"/>
        <v>3038000</v>
      </c>
    </row>
    <row r="16" spans="1:44" ht="12.75">
      <c r="A16" s="304"/>
      <c r="B16" s="304"/>
      <c r="C16" s="314"/>
      <c r="D16" s="315"/>
      <c r="E16" s="332"/>
      <c r="F16" s="305"/>
      <c r="G16" s="306"/>
      <c r="H16" s="307"/>
      <c r="I16" s="307"/>
      <c r="J16" s="257">
        <f>J13+J15</f>
        <v>0</v>
      </c>
      <c r="K16" s="257">
        <f aca="true" t="shared" si="3" ref="K16:AR16">K13+K15</f>
        <v>15</v>
      </c>
      <c r="L16" s="257">
        <f t="shared" si="3"/>
        <v>8</v>
      </c>
      <c r="M16" s="257">
        <f t="shared" si="3"/>
        <v>40</v>
      </c>
      <c r="N16" s="257">
        <f t="shared" si="3"/>
        <v>500</v>
      </c>
      <c r="O16" s="257">
        <f t="shared" si="3"/>
        <v>40</v>
      </c>
      <c r="P16" s="257">
        <f t="shared" si="3"/>
        <v>60</v>
      </c>
      <c r="Q16" s="257">
        <f t="shared" si="3"/>
        <v>40</v>
      </c>
      <c r="R16" s="257">
        <f t="shared" si="3"/>
        <v>0</v>
      </c>
      <c r="S16" s="257">
        <f t="shared" si="3"/>
        <v>238250</v>
      </c>
      <c r="T16" s="257">
        <f t="shared" si="3"/>
        <v>0</v>
      </c>
      <c r="U16" s="257">
        <f t="shared" si="3"/>
        <v>0</v>
      </c>
      <c r="V16" s="257">
        <f t="shared" si="3"/>
        <v>100000</v>
      </c>
      <c r="W16" s="257">
        <f t="shared" si="3"/>
        <v>0</v>
      </c>
      <c r="X16" s="257">
        <f t="shared" si="3"/>
        <v>0</v>
      </c>
      <c r="Y16" s="257">
        <f t="shared" si="3"/>
        <v>512650</v>
      </c>
      <c r="Z16" s="257">
        <f t="shared" si="3"/>
        <v>0</v>
      </c>
      <c r="AA16" s="257">
        <f t="shared" si="3"/>
        <v>0</v>
      </c>
      <c r="AB16" s="257">
        <f t="shared" si="3"/>
        <v>0</v>
      </c>
      <c r="AC16" s="257">
        <f t="shared" si="3"/>
        <v>4830000</v>
      </c>
      <c r="AD16" s="257">
        <f t="shared" si="3"/>
        <v>1542000</v>
      </c>
      <c r="AE16" s="257">
        <f t="shared" si="3"/>
        <v>322</v>
      </c>
      <c r="AF16" s="257">
        <f t="shared" si="3"/>
        <v>2500</v>
      </c>
      <c r="AG16" s="257">
        <f t="shared" si="3"/>
        <v>905000</v>
      </c>
      <c r="AH16" s="257">
        <f t="shared" si="3"/>
        <v>0</v>
      </c>
      <c r="AI16" s="257">
        <f t="shared" si="3"/>
        <v>0</v>
      </c>
      <c r="AJ16" s="257">
        <f t="shared" si="3"/>
        <v>0</v>
      </c>
      <c r="AK16" s="257">
        <f t="shared" si="3"/>
        <v>0</v>
      </c>
      <c r="AL16" s="257">
        <f t="shared" si="3"/>
        <v>8127900</v>
      </c>
      <c r="AM16" s="257">
        <f t="shared" si="3"/>
        <v>4300000</v>
      </c>
      <c r="AN16" s="257">
        <f t="shared" si="3"/>
        <v>500000</v>
      </c>
      <c r="AO16" s="257">
        <f t="shared" si="3"/>
        <v>265000</v>
      </c>
      <c r="AP16" s="257">
        <f t="shared" si="3"/>
        <v>0</v>
      </c>
      <c r="AQ16" s="257">
        <f t="shared" si="3"/>
        <v>0</v>
      </c>
      <c r="AR16" s="257">
        <f t="shared" si="3"/>
        <v>3062900</v>
      </c>
    </row>
    <row r="18" spans="38:44" ht="12.75">
      <c r="AL18" s="325">
        <f>AM16+AN16+AO16+AP16+AQ16+AR16</f>
        <v>8127900</v>
      </c>
      <c r="AR18" s="326"/>
    </row>
    <row r="20" ht="12.75" customHeight="1"/>
  </sheetData>
  <sheetProtection/>
  <mergeCells count="27">
    <mergeCell ref="B2:P2"/>
    <mergeCell ref="A3:E3"/>
    <mergeCell ref="G3:J3"/>
    <mergeCell ref="K3:AB3"/>
    <mergeCell ref="AC3:AJ4"/>
    <mergeCell ref="AL3:AL6"/>
    <mergeCell ref="AC5:AC6"/>
    <mergeCell ref="AM3:AR5"/>
    <mergeCell ref="A4:A6"/>
    <mergeCell ref="B4:C6"/>
    <mergeCell ref="D4:E6"/>
    <mergeCell ref="G4:J5"/>
    <mergeCell ref="K4:S5"/>
    <mergeCell ref="T4:Y4"/>
    <mergeCell ref="Z4:AB5"/>
    <mergeCell ref="AK3:AK6"/>
    <mergeCell ref="W5:Y5"/>
    <mergeCell ref="A14:E14"/>
    <mergeCell ref="AD5:AD6"/>
    <mergeCell ref="AE5:AG5"/>
    <mergeCell ref="AH5:AJ5"/>
    <mergeCell ref="A8:E8"/>
    <mergeCell ref="A9:A12"/>
    <mergeCell ref="B9:B12"/>
    <mergeCell ref="C9:C12"/>
    <mergeCell ref="F5:F6"/>
    <mergeCell ref="T5:V5"/>
  </mergeCells>
  <printOption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dimension ref="A1:AS28"/>
  <sheetViews>
    <sheetView tabSelected="1" zoomScale="150" zoomScaleNormal="150" zoomScalePageLayoutView="0" workbookViewId="0" topLeftCell="A20">
      <selection activeCell="C23" sqref="C23"/>
    </sheetView>
  </sheetViews>
  <sheetFormatPr defaultColWidth="9.28125" defaultRowHeight="15"/>
  <cols>
    <col min="1" max="1" width="5.57421875" style="316" customWidth="1"/>
    <col min="2" max="2" width="4.57421875" style="316" customWidth="1"/>
    <col min="3" max="3" width="21.28125" style="317" customWidth="1"/>
    <col min="4" max="4" width="5.28125" style="318" customWidth="1"/>
    <col min="5" max="5" width="19.7109375" style="333" customWidth="1"/>
    <col min="6" max="6" width="17.421875" style="319" customWidth="1"/>
    <col min="7" max="7" width="5.7109375" style="320" customWidth="1"/>
    <col min="8" max="8" width="7.7109375" style="321" customWidth="1"/>
    <col min="9" max="9" width="7.28125" style="321" customWidth="1"/>
    <col min="10" max="10" width="9.7109375" style="320" customWidth="1"/>
    <col min="11" max="11" width="10.00390625" style="322" customWidth="1"/>
    <col min="12" max="12" width="9.57421875" style="322" customWidth="1"/>
    <col min="13" max="13" width="10.7109375" style="322" customWidth="1"/>
    <col min="14" max="14" width="11.7109375" style="322" customWidth="1"/>
    <col min="15" max="15" width="12.28125" style="322" customWidth="1"/>
    <col min="16" max="16" width="12.7109375" style="322" customWidth="1"/>
    <col min="17" max="17" width="17.7109375" style="322" customWidth="1"/>
    <col min="18" max="18" width="11.57421875" style="322" customWidth="1"/>
    <col min="19" max="19" width="10.7109375" style="323" customWidth="1"/>
    <col min="20" max="20" width="9.28125" style="324" customWidth="1"/>
    <col min="21" max="21" width="7.421875" style="324" customWidth="1"/>
    <col min="22" max="22" width="9.7109375" style="323" customWidth="1"/>
    <col min="23" max="23" width="10.00390625" style="325" customWidth="1"/>
    <col min="24" max="24" width="6.7109375" style="325" customWidth="1"/>
    <col min="25" max="25" width="10.28125" style="325" customWidth="1"/>
    <col min="26" max="26" width="11.28125" style="326" customWidth="1"/>
    <col min="27" max="27" width="10.28125" style="326" customWidth="1"/>
    <col min="28" max="28" width="8.28125" style="326" customWidth="1"/>
    <col min="29" max="29" width="15.28125" style="326" customWidth="1"/>
    <col min="30" max="30" width="12.57421875" style="326" customWidth="1"/>
    <col min="31" max="31" width="7.28125" style="326" customWidth="1"/>
    <col min="32" max="32" width="13.28125" style="326" customWidth="1"/>
    <col min="33" max="33" width="9.28125" style="326" customWidth="1"/>
    <col min="34" max="34" width="6.7109375" style="326" customWidth="1"/>
    <col min="35" max="35" width="11.00390625" style="326" customWidth="1"/>
    <col min="36" max="36" width="10.7109375" style="326" customWidth="1"/>
    <col min="37" max="37" width="13.57421875" style="327" customWidth="1"/>
    <col min="38" max="38" width="10.57421875" style="325" customWidth="1"/>
    <col min="39" max="39" width="12.421875" style="417" customWidth="1"/>
    <col min="40" max="41" width="10.28125" style="326" customWidth="1"/>
    <col min="42" max="43" width="9.00390625" style="326" customWidth="1"/>
    <col min="44" max="44" width="12.28125" style="328" customWidth="1"/>
    <col min="45" max="45" width="9.7109375" style="302" bestFit="1" customWidth="1"/>
    <col min="46" max="46" width="11.7109375" style="303" customWidth="1"/>
    <col min="47" max="16384" width="9.28125" style="303" customWidth="1"/>
  </cols>
  <sheetData>
    <row r="1" spans="1:45" s="235" customFormat="1" ht="12.75">
      <c r="A1" s="222"/>
      <c r="B1" s="222"/>
      <c r="C1" s="223"/>
      <c r="D1" s="224"/>
      <c r="E1" s="329"/>
      <c r="F1" s="225"/>
      <c r="G1" s="226"/>
      <c r="H1" s="227"/>
      <c r="I1" s="227"/>
      <c r="J1" s="226"/>
      <c r="K1" s="228"/>
      <c r="L1" s="228"/>
      <c r="M1" s="228"/>
      <c r="N1" s="228"/>
      <c r="O1" s="228"/>
      <c r="P1" s="228"/>
      <c r="Q1" s="228"/>
      <c r="R1" s="228"/>
      <c r="S1" s="229"/>
      <c r="T1" s="230"/>
      <c r="U1" s="230"/>
      <c r="V1" s="229"/>
      <c r="W1" s="231"/>
      <c r="X1" s="231"/>
      <c r="Y1" s="231"/>
      <c r="Z1" s="232"/>
      <c r="AA1" s="232"/>
      <c r="AB1" s="232"/>
      <c r="AC1" s="232"/>
      <c r="AD1" s="232"/>
      <c r="AE1" s="232"/>
      <c r="AF1" s="232"/>
      <c r="AG1" s="232"/>
      <c r="AH1" s="232"/>
      <c r="AI1" s="232"/>
      <c r="AJ1" s="232"/>
      <c r="AK1" s="233"/>
      <c r="AL1" s="231"/>
      <c r="AM1" s="414"/>
      <c r="AN1" s="232"/>
      <c r="AO1" s="232"/>
      <c r="AP1" s="232"/>
      <c r="AQ1" s="232"/>
      <c r="AR1" s="234"/>
      <c r="AS1" s="236"/>
    </row>
    <row r="2" spans="1:45" s="235" customFormat="1" ht="13.5" customHeight="1" thickBot="1">
      <c r="A2" s="237"/>
      <c r="B2" s="941"/>
      <c r="C2" s="941"/>
      <c r="D2" s="941"/>
      <c r="E2" s="941"/>
      <c r="F2" s="941"/>
      <c r="G2" s="941"/>
      <c r="H2" s="941"/>
      <c r="I2" s="941"/>
      <c r="J2" s="941"/>
      <c r="K2" s="941"/>
      <c r="L2" s="941"/>
      <c r="M2" s="941"/>
      <c r="N2" s="941"/>
      <c r="O2" s="941"/>
      <c r="P2" s="941"/>
      <c r="Q2" s="238"/>
      <c r="R2" s="238"/>
      <c r="S2" s="237"/>
      <c r="T2" s="238"/>
      <c r="U2" s="238"/>
      <c r="V2" s="237"/>
      <c r="W2" s="237"/>
      <c r="X2" s="237"/>
      <c r="Y2" s="237"/>
      <c r="Z2" s="238"/>
      <c r="AA2" s="238"/>
      <c r="AB2" s="238"/>
      <c r="AC2" s="238"/>
      <c r="AD2" s="238"/>
      <c r="AE2" s="238"/>
      <c r="AF2" s="238"/>
      <c r="AG2" s="238"/>
      <c r="AH2" s="238"/>
      <c r="AI2" s="238"/>
      <c r="AJ2" s="238"/>
      <c r="AK2" s="237"/>
      <c r="AL2" s="231"/>
      <c r="AM2" s="414"/>
      <c r="AN2" s="232"/>
      <c r="AO2" s="232"/>
      <c r="AP2" s="232"/>
      <c r="AQ2" s="232"/>
      <c r="AR2" s="234"/>
      <c r="AS2" s="236"/>
    </row>
    <row r="3" spans="1:45" s="239" customFormat="1" ht="24" customHeight="1">
      <c r="A3" s="942"/>
      <c r="B3" s="943"/>
      <c r="C3" s="943"/>
      <c r="D3" s="943"/>
      <c r="E3" s="944"/>
      <c r="F3" s="769"/>
      <c r="G3" s="945" t="s">
        <v>1268</v>
      </c>
      <c r="H3" s="946"/>
      <c r="I3" s="946"/>
      <c r="J3" s="947"/>
      <c r="K3" s="948"/>
      <c r="L3" s="946"/>
      <c r="M3" s="946"/>
      <c r="N3" s="946"/>
      <c r="O3" s="946"/>
      <c r="P3" s="946"/>
      <c r="Q3" s="946"/>
      <c r="R3" s="946"/>
      <c r="S3" s="946"/>
      <c r="T3" s="946"/>
      <c r="U3" s="946"/>
      <c r="V3" s="946"/>
      <c r="W3" s="946"/>
      <c r="X3" s="946"/>
      <c r="Y3" s="946"/>
      <c r="Z3" s="946"/>
      <c r="AA3" s="946"/>
      <c r="AB3" s="947"/>
      <c r="AC3" s="966" t="s">
        <v>1100</v>
      </c>
      <c r="AD3" s="967"/>
      <c r="AE3" s="967"/>
      <c r="AF3" s="967"/>
      <c r="AG3" s="967"/>
      <c r="AH3" s="967"/>
      <c r="AI3" s="967"/>
      <c r="AJ3" s="968"/>
      <c r="AK3" s="938" t="s">
        <v>1101</v>
      </c>
      <c r="AL3" s="938" t="s">
        <v>1102</v>
      </c>
      <c r="AM3" s="966" t="s">
        <v>1103</v>
      </c>
      <c r="AN3" s="967"/>
      <c r="AO3" s="967"/>
      <c r="AP3" s="967"/>
      <c r="AQ3" s="967"/>
      <c r="AR3" s="1172"/>
      <c r="AS3" s="240"/>
    </row>
    <row r="4" spans="1:45" s="242" customFormat="1" ht="18" customHeight="1">
      <c r="A4" s="949" t="s">
        <v>1104</v>
      </c>
      <c r="B4" s="952" t="s">
        <v>1105</v>
      </c>
      <c r="C4" s="953"/>
      <c r="D4" s="952" t="s">
        <v>1106</v>
      </c>
      <c r="E4" s="953"/>
      <c r="F4" s="589"/>
      <c r="G4" s="958" t="s">
        <v>1107</v>
      </c>
      <c r="H4" s="959"/>
      <c r="I4" s="959"/>
      <c r="J4" s="960"/>
      <c r="K4" s="958" t="s">
        <v>1108</v>
      </c>
      <c r="L4" s="959"/>
      <c r="M4" s="959"/>
      <c r="N4" s="959"/>
      <c r="O4" s="959"/>
      <c r="P4" s="959"/>
      <c r="Q4" s="959"/>
      <c r="R4" s="959"/>
      <c r="S4" s="960"/>
      <c r="T4" s="927" t="s">
        <v>1109</v>
      </c>
      <c r="U4" s="928"/>
      <c r="V4" s="928"/>
      <c r="W4" s="928"/>
      <c r="X4" s="928"/>
      <c r="Y4" s="929"/>
      <c r="Z4" s="972" t="s">
        <v>1110</v>
      </c>
      <c r="AA4" s="973"/>
      <c r="AB4" s="974"/>
      <c r="AC4" s="1174"/>
      <c r="AD4" s="1175"/>
      <c r="AE4" s="1175"/>
      <c r="AF4" s="1175"/>
      <c r="AG4" s="1175"/>
      <c r="AH4" s="1175"/>
      <c r="AI4" s="1175"/>
      <c r="AJ4" s="1209"/>
      <c r="AK4" s="939"/>
      <c r="AL4" s="939"/>
      <c r="AM4" s="969"/>
      <c r="AN4" s="970"/>
      <c r="AO4" s="970"/>
      <c r="AP4" s="970"/>
      <c r="AQ4" s="970"/>
      <c r="AR4" s="1173"/>
      <c r="AS4" s="243"/>
    </row>
    <row r="5" spans="1:45" s="242" customFormat="1" ht="16.5" customHeight="1">
      <c r="A5" s="950"/>
      <c r="B5" s="954"/>
      <c r="C5" s="955"/>
      <c r="D5" s="954"/>
      <c r="E5" s="955"/>
      <c r="F5" s="964" t="s">
        <v>1111</v>
      </c>
      <c r="G5" s="961"/>
      <c r="H5" s="962"/>
      <c r="I5" s="962"/>
      <c r="J5" s="963"/>
      <c r="K5" s="961"/>
      <c r="L5" s="962"/>
      <c r="M5" s="962"/>
      <c r="N5" s="962"/>
      <c r="O5" s="962"/>
      <c r="P5" s="962"/>
      <c r="Q5" s="962"/>
      <c r="R5" s="962"/>
      <c r="S5" s="963"/>
      <c r="T5" s="927" t="s">
        <v>1112</v>
      </c>
      <c r="U5" s="928"/>
      <c r="V5" s="929"/>
      <c r="W5" s="935" t="s">
        <v>1113</v>
      </c>
      <c r="X5" s="936"/>
      <c r="Y5" s="937"/>
      <c r="Z5" s="975"/>
      <c r="AA5" s="976"/>
      <c r="AB5" s="977"/>
      <c r="AC5" s="978" t="s">
        <v>1114</v>
      </c>
      <c r="AD5" s="978" t="s">
        <v>1115</v>
      </c>
      <c r="AE5" s="927" t="s">
        <v>1116</v>
      </c>
      <c r="AF5" s="928"/>
      <c r="AG5" s="929"/>
      <c r="AH5" s="927" t="s">
        <v>1117</v>
      </c>
      <c r="AI5" s="928"/>
      <c r="AJ5" s="929"/>
      <c r="AK5" s="939"/>
      <c r="AL5" s="939"/>
      <c r="AM5" s="1174"/>
      <c r="AN5" s="1175"/>
      <c r="AO5" s="1175"/>
      <c r="AP5" s="1175"/>
      <c r="AQ5" s="1175"/>
      <c r="AR5" s="1176"/>
      <c r="AS5" s="243"/>
    </row>
    <row r="6" spans="1:45" s="244" customFormat="1" ht="38.25" customHeight="1">
      <c r="A6" s="951"/>
      <c r="B6" s="956"/>
      <c r="C6" s="957"/>
      <c r="D6" s="956"/>
      <c r="E6" s="957"/>
      <c r="F6" s="1210"/>
      <c r="G6" s="766" t="s">
        <v>1118</v>
      </c>
      <c r="H6" s="591" t="s">
        <v>1119</v>
      </c>
      <c r="I6" s="591" t="s">
        <v>1120</v>
      </c>
      <c r="J6" s="591" t="s">
        <v>1121</v>
      </c>
      <c r="K6" s="591" t="s">
        <v>1122</v>
      </c>
      <c r="L6" s="591" t="s">
        <v>1123</v>
      </c>
      <c r="M6" s="591" t="s">
        <v>1124</v>
      </c>
      <c r="N6" s="591" t="s">
        <v>1125</v>
      </c>
      <c r="O6" s="591" t="s">
        <v>1126</v>
      </c>
      <c r="P6" s="591" t="s">
        <v>1127</v>
      </c>
      <c r="Q6" s="591" t="s">
        <v>1128</v>
      </c>
      <c r="R6" s="591"/>
      <c r="S6" s="592" t="s">
        <v>1129</v>
      </c>
      <c r="T6" s="591" t="s">
        <v>1130</v>
      </c>
      <c r="U6" s="766" t="s">
        <v>1131</v>
      </c>
      <c r="V6" s="592" t="s">
        <v>1132</v>
      </c>
      <c r="W6" s="593" t="s">
        <v>1133</v>
      </c>
      <c r="X6" s="592" t="s">
        <v>1134</v>
      </c>
      <c r="Y6" s="592" t="s">
        <v>1135</v>
      </c>
      <c r="Z6" s="766" t="s">
        <v>1136</v>
      </c>
      <c r="AA6" s="766" t="s">
        <v>1137</v>
      </c>
      <c r="AB6" s="766" t="s">
        <v>1138</v>
      </c>
      <c r="AC6" s="979"/>
      <c r="AD6" s="979"/>
      <c r="AE6" s="766" t="s">
        <v>1139</v>
      </c>
      <c r="AF6" s="766" t="s">
        <v>1140</v>
      </c>
      <c r="AG6" s="766" t="s">
        <v>1141</v>
      </c>
      <c r="AH6" s="766" t="s">
        <v>1142</v>
      </c>
      <c r="AI6" s="766" t="s">
        <v>1143</v>
      </c>
      <c r="AJ6" s="766" t="s">
        <v>1144</v>
      </c>
      <c r="AK6" s="940"/>
      <c r="AL6" s="940"/>
      <c r="AM6" s="594" t="s">
        <v>1145</v>
      </c>
      <c r="AN6" s="595" t="s">
        <v>1146</v>
      </c>
      <c r="AO6" s="595" t="s">
        <v>1270</v>
      </c>
      <c r="AP6" s="595" t="s">
        <v>1147</v>
      </c>
      <c r="AQ6" s="766" t="s">
        <v>1148</v>
      </c>
      <c r="AR6" s="767" t="s">
        <v>1149</v>
      </c>
      <c r="AS6" s="245"/>
    </row>
    <row r="7" spans="1:45" s="249" customFormat="1" ht="12.75">
      <c r="A7" s="768" t="s">
        <v>1150</v>
      </c>
      <c r="B7" s="597" t="s">
        <v>1151</v>
      </c>
      <c r="C7" s="598" t="s">
        <v>1152</v>
      </c>
      <c r="D7" s="599" t="s">
        <v>1153</v>
      </c>
      <c r="E7" s="600" t="s">
        <v>1154</v>
      </c>
      <c r="F7" s="601"/>
      <c r="G7" s="602">
        <v>1</v>
      </c>
      <c r="H7" s="602">
        <v>2</v>
      </c>
      <c r="I7" s="602">
        <v>3</v>
      </c>
      <c r="J7" s="602">
        <v>4</v>
      </c>
      <c r="K7" s="602">
        <v>5</v>
      </c>
      <c r="L7" s="602">
        <v>6</v>
      </c>
      <c r="M7" s="602">
        <v>7</v>
      </c>
      <c r="N7" s="602">
        <v>8</v>
      </c>
      <c r="O7" s="602">
        <v>9</v>
      </c>
      <c r="P7" s="602">
        <v>10</v>
      </c>
      <c r="Q7" s="602">
        <v>11</v>
      </c>
      <c r="R7" s="602">
        <v>12</v>
      </c>
      <c r="S7" s="602">
        <v>13</v>
      </c>
      <c r="T7" s="602">
        <v>14</v>
      </c>
      <c r="U7" s="602">
        <v>15</v>
      </c>
      <c r="V7" s="602">
        <v>16</v>
      </c>
      <c r="W7" s="602">
        <v>17</v>
      </c>
      <c r="X7" s="602">
        <v>18</v>
      </c>
      <c r="Y7" s="602">
        <v>19</v>
      </c>
      <c r="Z7" s="602">
        <v>20</v>
      </c>
      <c r="AA7" s="602">
        <v>21</v>
      </c>
      <c r="AB7" s="602">
        <v>22</v>
      </c>
      <c r="AC7" s="602">
        <v>23</v>
      </c>
      <c r="AD7" s="602">
        <v>24</v>
      </c>
      <c r="AE7" s="602">
        <v>25</v>
      </c>
      <c r="AF7" s="602">
        <v>26</v>
      </c>
      <c r="AG7" s="602">
        <v>27</v>
      </c>
      <c r="AH7" s="602">
        <v>28</v>
      </c>
      <c r="AI7" s="602">
        <v>29</v>
      </c>
      <c r="AJ7" s="602">
        <v>30</v>
      </c>
      <c r="AK7" s="602">
        <v>31</v>
      </c>
      <c r="AL7" s="602">
        <v>32</v>
      </c>
      <c r="AM7" s="602">
        <v>33</v>
      </c>
      <c r="AN7" s="602">
        <v>34</v>
      </c>
      <c r="AO7" s="602">
        <v>35</v>
      </c>
      <c r="AP7" s="602">
        <v>36</v>
      </c>
      <c r="AQ7" s="602">
        <v>37</v>
      </c>
      <c r="AR7" s="602">
        <v>38</v>
      </c>
      <c r="AS7" s="250"/>
    </row>
    <row r="8" spans="1:45" s="263" customFormat="1" ht="28.5" customHeight="1">
      <c r="A8" s="1213" t="s">
        <v>1190</v>
      </c>
      <c r="B8" s="1213"/>
      <c r="C8" s="1213"/>
      <c r="D8" s="1213"/>
      <c r="E8" s="1213"/>
      <c r="F8" s="1213"/>
      <c r="G8" s="1213"/>
      <c r="H8" s="1213"/>
      <c r="I8" s="1213"/>
      <c r="J8" s="1213"/>
      <c r="K8" s="1213"/>
      <c r="L8" s="1213"/>
      <c r="M8" s="1213"/>
      <c r="N8" s="1213"/>
      <c r="O8" s="1213"/>
      <c r="P8" s="1213"/>
      <c r="Q8" s="1213"/>
      <c r="R8" s="1213"/>
      <c r="S8" s="1213"/>
      <c r="T8" s="1213"/>
      <c r="U8" s="1213"/>
      <c r="V8" s="1213"/>
      <c r="W8" s="1213"/>
      <c r="X8" s="1213"/>
      <c r="Y8" s="1213"/>
      <c r="Z8" s="1213"/>
      <c r="AA8" s="1213"/>
      <c r="AB8" s="1213"/>
      <c r="AC8" s="1213"/>
      <c r="AD8" s="1213"/>
      <c r="AE8" s="1213"/>
      <c r="AF8" s="1213"/>
      <c r="AG8" s="1213"/>
      <c r="AH8" s="1213"/>
      <c r="AI8" s="1213"/>
      <c r="AJ8" s="1213"/>
      <c r="AK8" s="1213"/>
      <c r="AL8" s="1213"/>
      <c r="AM8" s="1213"/>
      <c r="AN8" s="1213"/>
      <c r="AO8" s="1213"/>
      <c r="AP8" s="1213"/>
      <c r="AQ8" s="1213"/>
      <c r="AR8" s="1214"/>
      <c r="AS8" s="265"/>
    </row>
    <row r="9" spans="1:45" s="263" customFormat="1" ht="28.5" customHeight="1">
      <c r="A9" s="1211">
        <v>2</v>
      </c>
      <c r="B9" s="920">
        <v>2.3</v>
      </c>
      <c r="C9" s="1207" t="s">
        <v>1155</v>
      </c>
      <c r="D9" s="556" t="s">
        <v>1156</v>
      </c>
      <c r="E9" s="556" t="s">
        <v>503</v>
      </c>
      <c r="F9" s="554" t="s">
        <v>509</v>
      </c>
      <c r="G9" s="264"/>
      <c r="H9" s="264"/>
      <c r="I9" s="264"/>
      <c r="J9" s="257">
        <f aca="true" t="shared" si="0" ref="J9:J14">G9*H9*I9</f>
        <v>0</v>
      </c>
      <c r="K9" s="264"/>
      <c r="L9" s="264"/>
      <c r="M9" s="264"/>
      <c r="N9" s="264"/>
      <c r="O9" s="264"/>
      <c r="P9" s="264"/>
      <c r="Q9" s="264"/>
      <c r="R9" s="264"/>
      <c r="S9" s="258">
        <f aca="true" t="shared" si="1" ref="S9:S14">(K9*L9*N9)+(K9*L9*M9*O9)+(K9*L9*M9*P9)+(K9*M9*Q9)+(K9*L9*R9)</f>
        <v>0</v>
      </c>
      <c r="T9" s="264"/>
      <c r="U9" s="264"/>
      <c r="V9" s="259">
        <f aca="true" t="shared" si="2" ref="V9:V14">T9*U9</f>
        <v>0</v>
      </c>
      <c r="W9" s="264"/>
      <c r="X9" s="264"/>
      <c r="Y9" s="259"/>
      <c r="Z9" s="264"/>
      <c r="AA9" s="264"/>
      <c r="AB9" s="421"/>
      <c r="AC9" s="421"/>
      <c r="AD9" s="248"/>
      <c r="AE9" s="264"/>
      <c r="AF9" s="264"/>
      <c r="AG9" s="421"/>
      <c r="AH9" s="264"/>
      <c r="AI9" s="264"/>
      <c r="AJ9" s="248"/>
      <c r="AK9" s="264"/>
      <c r="AL9" s="259">
        <f aca="true" t="shared" si="3" ref="AL9:AL14">J9+S9+V9+Y9+AB9+AG9+AJ9+AK9+AC9+AD9</f>
        <v>0</v>
      </c>
      <c r="AM9" s="555"/>
      <c r="AN9" s="264"/>
      <c r="AO9" s="264"/>
      <c r="AP9" s="264"/>
      <c r="AQ9" s="366"/>
      <c r="AR9" s="262">
        <f>AL9-AM9-AN9-AO9-AP9-AQ9</f>
        <v>0</v>
      </c>
      <c r="AS9" s="265"/>
    </row>
    <row r="10" spans="1:45" s="263" customFormat="1" ht="59.25" customHeight="1">
      <c r="A10" s="1215"/>
      <c r="B10" s="920"/>
      <c r="C10" s="1208"/>
      <c r="D10" s="556" t="s">
        <v>1157</v>
      </c>
      <c r="E10" s="556" t="s">
        <v>1204</v>
      </c>
      <c r="F10" s="554" t="s">
        <v>504</v>
      </c>
      <c r="G10" s="264"/>
      <c r="H10" s="264"/>
      <c r="I10" s="264"/>
      <c r="J10" s="257">
        <f t="shared" si="0"/>
        <v>0</v>
      </c>
      <c r="K10" s="264">
        <v>2</v>
      </c>
      <c r="L10" s="264">
        <v>2</v>
      </c>
      <c r="M10" s="264">
        <v>25</v>
      </c>
      <c r="N10" s="264">
        <v>300</v>
      </c>
      <c r="O10" s="264">
        <v>20</v>
      </c>
      <c r="P10" s="264"/>
      <c r="Q10" s="264">
        <v>25</v>
      </c>
      <c r="R10" s="264"/>
      <c r="S10" s="258">
        <f t="shared" si="1"/>
        <v>4450</v>
      </c>
      <c r="T10" s="264">
        <v>10</v>
      </c>
      <c r="U10" s="264">
        <v>350</v>
      </c>
      <c r="V10" s="259">
        <f t="shared" si="2"/>
        <v>3500</v>
      </c>
      <c r="W10" s="264">
        <v>45</v>
      </c>
      <c r="X10" s="264">
        <v>1250</v>
      </c>
      <c r="Y10" s="259">
        <f>W10*X10</f>
        <v>56250</v>
      </c>
      <c r="Z10" s="264"/>
      <c r="AA10" s="264"/>
      <c r="AB10" s="421"/>
      <c r="AC10" s="421"/>
      <c r="AD10" s="248"/>
      <c r="AE10" s="264"/>
      <c r="AF10" s="264"/>
      <c r="AG10" s="421"/>
      <c r="AH10" s="264"/>
      <c r="AI10" s="264"/>
      <c r="AJ10" s="248"/>
      <c r="AK10" s="264">
        <f>(8*500)+(8*5*80)+(3*5*50)</f>
        <v>7950</v>
      </c>
      <c r="AL10" s="259">
        <f t="shared" si="3"/>
        <v>72150</v>
      </c>
      <c r="AM10" s="555"/>
      <c r="AN10" s="264"/>
      <c r="AO10" s="264"/>
      <c r="AP10" s="264"/>
      <c r="AQ10" s="366"/>
      <c r="AR10" s="262">
        <f>AL10-AM10-AN10-AO10-AP10-AQ10</f>
        <v>72150</v>
      </c>
      <c r="AS10" s="265"/>
    </row>
    <row r="11" spans="1:45" s="263" customFormat="1" ht="12.75">
      <c r="A11" s="580"/>
      <c r="B11" s="425"/>
      <c r="C11" s="582"/>
      <c r="D11" s="583"/>
      <c r="E11" s="583"/>
      <c r="F11" s="584"/>
      <c r="G11" s="581"/>
      <c r="H11" s="581"/>
      <c r="I11" s="581"/>
      <c r="J11" s="430">
        <f>SUM(J8:J10)</f>
        <v>0</v>
      </c>
      <c r="K11" s="430"/>
      <c r="L11" s="430"/>
      <c r="M11" s="430"/>
      <c r="N11" s="430"/>
      <c r="O11" s="430"/>
      <c r="P11" s="430"/>
      <c r="Q11" s="430"/>
      <c r="R11" s="430"/>
      <c r="S11" s="430">
        <f aca="true" t="shared" si="4" ref="S11:AR11">SUM(S8:S10)</f>
        <v>4450</v>
      </c>
      <c r="T11" s="430"/>
      <c r="U11" s="430"/>
      <c r="V11" s="430">
        <f t="shared" si="4"/>
        <v>3500</v>
      </c>
      <c r="W11" s="430"/>
      <c r="X11" s="430"/>
      <c r="Y11" s="430">
        <f t="shared" si="4"/>
        <v>56250</v>
      </c>
      <c r="Z11" s="430">
        <f t="shared" si="4"/>
        <v>0</v>
      </c>
      <c r="AA11" s="430">
        <f t="shared" si="4"/>
        <v>0</v>
      </c>
      <c r="AB11" s="257">
        <f t="shared" si="4"/>
        <v>0</v>
      </c>
      <c r="AC11" s="430">
        <f t="shared" si="4"/>
        <v>0</v>
      </c>
      <c r="AD11" s="430">
        <f t="shared" si="4"/>
        <v>0</v>
      </c>
      <c r="AE11" s="430">
        <f t="shared" si="4"/>
        <v>0</v>
      </c>
      <c r="AF11" s="430">
        <f t="shared" si="4"/>
        <v>0</v>
      </c>
      <c r="AG11" s="257">
        <f t="shared" si="4"/>
        <v>0</v>
      </c>
      <c r="AH11" s="430">
        <f t="shared" si="4"/>
        <v>0</v>
      </c>
      <c r="AI11" s="430">
        <f t="shared" si="4"/>
        <v>0</v>
      </c>
      <c r="AJ11" s="257">
        <f t="shared" si="4"/>
        <v>0</v>
      </c>
      <c r="AK11" s="430">
        <f t="shared" si="4"/>
        <v>7950</v>
      </c>
      <c r="AL11" s="430">
        <f t="shared" si="4"/>
        <v>72150</v>
      </c>
      <c r="AM11" s="430">
        <f t="shared" si="4"/>
        <v>0</v>
      </c>
      <c r="AN11" s="430">
        <f t="shared" si="4"/>
        <v>0</v>
      </c>
      <c r="AO11" s="430">
        <f t="shared" si="4"/>
        <v>0</v>
      </c>
      <c r="AP11" s="430">
        <f t="shared" si="4"/>
        <v>0</v>
      </c>
      <c r="AQ11" s="430">
        <f t="shared" si="4"/>
        <v>0</v>
      </c>
      <c r="AR11" s="430">
        <f t="shared" si="4"/>
        <v>72150</v>
      </c>
      <c r="AS11" s="265"/>
    </row>
    <row r="12" spans="1:45" s="263" customFormat="1" ht="31.5" customHeight="1">
      <c r="A12" s="913" t="s">
        <v>505</v>
      </c>
      <c r="B12" s="913"/>
      <c r="C12" s="913"/>
      <c r="D12" s="913"/>
      <c r="E12" s="913"/>
      <c r="F12" s="913"/>
      <c r="G12" s="913"/>
      <c r="H12" s="913"/>
      <c r="I12" s="913"/>
      <c r="J12" s="913"/>
      <c r="K12" s="913"/>
      <c r="L12" s="913"/>
      <c r="M12" s="913"/>
      <c r="N12" s="913"/>
      <c r="O12" s="913"/>
      <c r="P12" s="913"/>
      <c r="Q12" s="913"/>
      <c r="R12" s="913"/>
      <c r="S12" s="913"/>
      <c r="T12" s="913"/>
      <c r="U12" s="913"/>
      <c r="V12" s="913"/>
      <c r="W12" s="913"/>
      <c r="X12" s="913"/>
      <c r="Y12" s="913"/>
      <c r="Z12" s="913"/>
      <c r="AA12" s="913"/>
      <c r="AB12" s="913"/>
      <c r="AC12" s="913"/>
      <c r="AD12" s="913"/>
      <c r="AE12" s="913"/>
      <c r="AF12" s="913"/>
      <c r="AG12" s="913"/>
      <c r="AH12" s="913"/>
      <c r="AI12" s="913"/>
      <c r="AJ12" s="913"/>
      <c r="AK12" s="913"/>
      <c r="AL12" s="913"/>
      <c r="AM12" s="913"/>
      <c r="AN12" s="913"/>
      <c r="AO12" s="913"/>
      <c r="AP12" s="913"/>
      <c r="AQ12" s="913"/>
      <c r="AR12" s="914"/>
      <c r="AS12" s="265"/>
    </row>
    <row r="13" spans="1:45" s="263" customFormat="1" ht="57.75" customHeight="1">
      <c r="A13" s="1211"/>
      <c r="B13" s="1216" t="s">
        <v>1158</v>
      </c>
      <c r="C13" s="917" t="s">
        <v>506</v>
      </c>
      <c r="D13" s="557" t="s">
        <v>1159</v>
      </c>
      <c r="E13" s="557" t="s">
        <v>507</v>
      </c>
      <c r="F13" s="789" t="s">
        <v>508</v>
      </c>
      <c r="G13" s="264"/>
      <c r="H13" s="264"/>
      <c r="I13" s="264"/>
      <c r="J13" s="257">
        <f t="shared" si="0"/>
        <v>0</v>
      </c>
      <c r="K13" s="264"/>
      <c r="L13" s="264"/>
      <c r="M13" s="264"/>
      <c r="N13" s="264"/>
      <c r="O13" s="264"/>
      <c r="P13" s="264"/>
      <c r="Q13" s="264"/>
      <c r="R13" s="264"/>
      <c r="S13" s="258">
        <f t="shared" si="1"/>
        <v>0</v>
      </c>
      <c r="T13" s="264"/>
      <c r="U13" s="264"/>
      <c r="V13" s="259"/>
      <c r="W13" s="264"/>
      <c r="X13" s="264"/>
      <c r="Y13" s="259"/>
      <c r="Z13" s="264"/>
      <c r="AA13" s="264"/>
      <c r="AB13" s="421"/>
      <c r="AC13" s="421"/>
      <c r="AD13" s="248"/>
      <c r="AE13" s="264"/>
      <c r="AF13" s="264"/>
      <c r="AG13" s="421"/>
      <c r="AH13" s="264"/>
      <c r="AI13" s="264"/>
      <c r="AJ13" s="248"/>
      <c r="AK13" s="264"/>
      <c r="AL13" s="259">
        <f t="shared" si="3"/>
        <v>0</v>
      </c>
      <c r="AM13" s="555"/>
      <c r="AN13" s="264"/>
      <c r="AO13" s="264"/>
      <c r="AP13" s="264"/>
      <c r="AQ13" s="366"/>
      <c r="AR13" s="262">
        <f>AL13-AM13-AN13-AO13-AP13-AQ13</f>
        <v>0</v>
      </c>
      <c r="AS13" s="265"/>
    </row>
    <row r="14" spans="1:45" s="263" customFormat="1" ht="45.75" customHeight="1">
      <c r="A14" s="1212"/>
      <c r="B14" s="1217"/>
      <c r="C14" s="918"/>
      <c r="D14" s="798" t="s">
        <v>1160</v>
      </c>
      <c r="E14" s="799" t="s">
        <v>510</v>
      </c>
      <c r="F14" s="554" t="s">
        <v>1161</v>
      </c>
      <c r="G14" s="800"/>
      <c r="H14" s="800"/>
      <c r="I14" s="800"/>
      <c r="J14" s="801">
        <f t="shared" si="0"/>
        <v>0</v>
      </c>
      <c r="K14" s="800"/>
      <c r="L14" s="800"/>
      <c r="M14" s="800"/>
      <c r="N14" s="800"/>
      <c r="O14" s="800"/>
      <c r="P14" s="800"/>
      <c r="Q14" s="800"/>
      <c r="R14" s="800"/>
      <c r="S14" s="802">
        <f t="shared" si="1"/>
        <v>0</v>
      </c>
      <c r="T14" s="800"/>
      <c r="U14" s="800"/>
      <c r="V14" s="803">
        <f t="shared" si="2"/>
        <v>0</v>
      </c>
      <c r="W14" s="800"/>
      <c r="X14" s="800"/>
      <c r="Y14" s="803"/>
      <c r="Z14" s="800"/>
      <c r="AA14" s="800"/>
      <c r="AB14" s="421"/>
      <c r="AC14" s="421"/>
      <c r="AD14" s="421"/>
      <c r="AE14" s="800"/>
      <c r="AF14" s="800"/>
      <c r="AG14" s="421"/>
      <c r="AH14" s="800"/>
      <c r="AI14" s="800"/>
      <c r="AJ14" s="248"/>
      <c r="AK14" s="264"/>
      <c r="AL14" s="259">
        <f t="shared" si="3"/>
        <v>0</v>
      </c>
      <c r="AM14" s="555"/>
      <c r="AN14" s="264"/>
      <c r="AO14" s="264"/>
      <c r="AP14" s="264"/>
      <c r="AQ14" s="366"/>
      <c r="AR14" s="262">
        <f>AL14-AM14-AN14-AO14-AP14-AQ14</f>
        <v>0</v>
      </c>
      <c r="AS14" s="265"/>
    </row>
    <row r="15" spans="1:45" s="263" customFormat="1" ht="26.25" customHeight="1">
      <c r="A15" s="428"/>
      <c r="B15" s="428"/>
      <c r="C15" s="428"/>
      <c r="D15" s="804"/>
      <c r="E15" s="804"/>
      <c r="F15" s="428"/>
      <c r="G15" s="429"/>
      <c r="H15" s="429"/>
      <c r="I15" s="429"/>
      <c r="J15" s="430">
        <f>SUM(J12:J14)</f>
        <v>0</v>
      </c>
      <c r="K15" s="430"/>
      <c r="L15" s="430"/>
      <c r="M15" s="430"/>
      <c r="N15" s="430"/>
      <c r="O15" s="430"/>
      <c r="P15" s="430"/>
      <c r="Q15" s="430"/>
      <c r="R15" s="430"/>
      <c r="S15" s="430">
        <f aca="true" t="shared" si="5" ref="S15:AR15">SUM(S12:S14)</f>
        <v>0</v>
      </c>
      <c r="T15" s="430">
        <f t="shared" si="5"/>
        <v>0</v>
      </c>
      <c r="U15" s="430">
        <f t="shared" si="5"/>
        <v>0</v>
      </c>
      <c r="V15" s="430">
        <f t="shared" si="5"/>
        <v>0</v>
      </c>
      <c r="W15" s="430">
        <f t="shared" si="5"/>
        <v>0</v>
      </c>
      <c r="X15" s="430">
        <f t="shared" si="5"/>
        <v>0</v>
      </c>
      <c r="Y15" s="430">
        <f t="shared" si="5"/>
        <v>0</v>
      </c>
      <c r="Z15" s="430">
        <f t="shared" si="5"/>
        <v>0</v>
      </c>
      <c r="AA15" s="430">
        <f t="shared" si="5"/>
        <v>0</v>
      </c>
      <c r="AB15" s="430">
        <f t="shared" si="5"/>
        <v>0</v>
      </c>
      <c r="AC15" s="430">
        <f t="shared" si="5"/>
        <v>0</v>
      </c>
      <c r="AD15" s="430">
        <f t="shared" si="5"/>
        <v>0</v>
      </c>
      <c r="AE15" s="430">
        <f t="shared" si="5"/>
        <v>0</v>
      </c>
      <c r="AF15" s="430">
        <f t="shared" si="5"/>
        <v>0</v>
      </c>
      <c r="AG15" s="430">
        <f t="shared" si="5"/>
        <v>0</v>
      </c>
      <c r="AH15" s="430">
        <f t="shared" si="5"/>
        <v>0</v>
      </c>
      <c r="AI15" s="430">
        <f t="shared" si="5"/>
        <v>0</v>
      </c>
      <c r="AJ15" s="430">
        <f t="shared" si="5"/>
        <v>0</v>
      </c>
      <c r="AK15" s="430">
        <f t="shared" si="5"/>
        <v>0</v>
      </c>
      <c r="AL15" s="430">
        <f t="shared" si="5"/>
        <v>0</v>
      </c>
      <c r="AM15" s="430">
        <f t="shared" si="5"/>
        <v>0</v>
      </c>
      <c r="AN15" s="430">
        <f t="shared" si="5"/>
        <v>0</v>
      </c>
      <c r="AO15" s="430">
        <f t="shared" si="5"/>
        <v>0</v>
      </c>
      <c r="AP15" s="430">
        <f t="shared" si="5"/>
        <v>0</v>
      </c>
      <c r="AQ15" s="430">
        <f t="shared" si="5"/>
        <v>0</v>
      </c>
      <c r="AR15" s="430">
        <f t="shared" si="5"/>
        <v>0</v>
      </c>
      <c r="AS15" s="265"/>
    </row>
    <row r="16" spans="1:44" ht="30.75" customHeight="1">
      <c r="A16" s="304"/>
      <c r="B16" s="1218" t="s">
        <v>1162</v>
      </c>
      <c r="C16" s="1219"/>
      <c r="D16" s="1219"/>
      <c r="E16" s="1220"/>
      <c r="F16" s="305"/>
      <c r="G16" s="306"/>
      <c r="H16" s="306"/>
      <c r="I16" s="306"/>
      <c r="J16" s="306"/>
      <c r="K16" s="306"/>
      <c r="L16" s="306"/>
      <c r="M16" s="306"/>
      <c r="N16" s="306"/>
      <c r="O16" s="306"/>
      <c r="P16" s="306"/>
      <c r="Q16" s="306"/>
      <c r="R16" s="306"/>
      <c r="S16" s="306"/>
      <c r="T16" s="306"/>
      <c r="U16" s="306"/>
      <c r="V16" s="306"/>
      <c r="W16" s="306"/>
      <c r="X16" s="306"/>
      <c r="Y16" s="306"/>
      <c r="Z16" s="306"/>
      <c r="AA16" s="306"/>
      <c r="AB16" s="306"/>
      <c r="AC16" s="306"/>
      <c r="AD16" s="306"/>
      <c r="AE16" s="306"/>
      <c r="AF16" s="306"/>
      <c r="AG16" s="306"/>
      <c r="AH16" s="306"/>
      <c r="AI16" s="306"/>
      <c r="AJ16" s="306"/>
      <c r="AK16" s="306"/>
      <c r="AL16" s="306"/>
      <c r="AM16" s="306"/>
      <c r="AN16" s="306"/>
      <c r="AO16" s="306"/>
      <c r="AP16" s="306"/>
      <c r="AQ16" s="306"/>
      <c r="AR16" s="306"/>
    </row>
    <row r="17" spans="1:45" s="316" customFormat="1" ht="61.5" customHeight="1">
      <c r="A17" s="921">
        <v>10</v>
      </c>
      <c r="B17" s="268">
        <v>10.1</v>
      </c>
      <c r="C17" s="572" t="s">
        <v>1271</v>
      </c>
      <c r="D17" s="269" t="s">
        <v>1163</v>
      </c>
      <c r="E17" s="269" t="s">
        <v>512</v>
      </c>
      <c r="F17" s="573" t="s">
        <v>104</v>
      </c>
      <c r="G17" s="574"/>
      <c r="H17" s="575"/>
      <c r="I17" s="575"/>
      <c r="J17" s="558">
        <f>G17*H17*I17</f>
        <v>0</v>
      </c>
      <c r="K17" s="576"/>
      <c r="L17" s="576"/>
      <c r="M17" s="576"/>
      <c r="N17" s="576"/>
      <c r="O17" s="576"/>
      <c r="P17" s="576"/>
      <c r="Q17" s="576"/>
      <c r="R17" s="576"/>
      <c r="S17" s="258">
        <f>(K17*L17*N17)+(K17*L17*M17*O17)+(K17*L17*M17*P17)+(K17*M17*Q17)+(K17*L17*R17)</f>
        <v>0</v>
      </c>
      <c r="T17" s="274"/>
      <c r="U17" s="274"/>
      <c r="V17" s="259">
        <f>T17*U17</f>
        <v>0</v>
      </c>
      <c r="W17" s="274"/>
      <c r="X17" s="274"/>
      <c r="Y17" s="259">
        <f>700000-AD17</f>
        <v>226000</v>
      </c>
      <c r="Z17" s="577"/>
      <c r="AA17" s="577"/>
      <c r="AB17" s="259">
        <f>Z17*AA17</f>
        <v>0</v>
      </c>
      <c r="AC17" s="259"/>
      <c r="AD17" s="578">
        <f>700000-226000</f>
        <v>474000</v>
      </c>
      <c r="AE17" s="669"/>
      <c r="AF17" s="669"/>
      <c r="AG17" s="259">
        <f>AE17*AF17</f>
        <v>0</v>
      </c>
      <c r="AH17" s="669"/>
      <c r="AI17" s="669"/>
      <c r="AJ17" s="259">
        <f>AH17*AI17</f>
        <v>0</v>
      </c>
      <c r="AK17" s="259"/>
      <c r="AL17" s="259">
        <f>J17+S17+V17+Y17+AB17+AG17+AJ17+AK17+AC17+AD17</f>
        <v>700000</v>
      </c>
      <c r="AM17" s="415"/>
      <c r="AN17" s="276">
        <f>AL17</f>
        <v>700000</v>
      </c>
      <c r="AO17" s="276"/>
      <c r="AP17" s="276"/>
      <c r="AQ17" s="276"/>
      <c r="AR17" s="262">
        <f>AL17-AM17-AN17-AO17-AP17-AQ17</f>
        <v>0</v>
      </c>
      <c r="AS17" s="579"/>
    </row>
    <row r="18" spans="1:45" s="278" customFormat="1" ht="35.25" customHeight="1">
      <c r="A18" s="922"/>
      <c r="B18" s="921">
        <v>10.2</v>
      </c>
      <c r="C18" s="919" t="s">
        <v>513</v>
      </c>
      <c r="D18" s="269" t="s">
        <v>1164</v>
      </c>
      <c r="E18" s="253" t="s">
        <v>514</v>
      </c>
      <c r="F18" s="277"/>
      <c r="G18" s="270"/>
      <c r="H18" s="271"/>
      <c r="I18" s="271"/>
      <c r="J18" s="257">
        <f>G18*H18*I18</f>
        <v>0</v>
      </c>
      <c r="K18" s="272"/>
      <c r="L18" s="272"/>
      <c r="M18" s="272"/>
      <c r="N18" s="272"/>
      <c r="O18" s="272"/>
      <c r="P18" s="272"/>
      <c r="Q18" s="272"/>
      <c r="R18" s="272"/>
      <c r="S18" s="258">
        <f>(K18*L18*N18)+(K18*L18*M18*O18)+(K18*L18*M18*P18)+(K18*M18*Q18)+(K18*L18*R18)</f>
        <v>0</v>
      </c>
      <c r="T18" s="273"/>
      <c r="U18" s="273"/>
      <c r="V18" s="259">
        <f>T18*U18</f>
        <v>0</v>
      </c>
      <c r="W18" s="274"/>
      <c r="X18" s="274"/>
      <c r="Y18" s="259">
        <f>W18*X18</f>
        <v>0</v>
      </c>
      <c r="Z18" s="275"/>
      <c r="AA18" s="275"/>
      <c r="AB18" s="260">
        <f>Z18*AA18</f>
        <v>0</v>
      </c>
      <c r="AC18" s="260"/>
      <c r="AD18" s="260"/>
      <c r="AE18" s="419"/>
      <c r="AF18" s="419"/>
      <c r="AG18" s="260">
        <f>AE18*AF18</f>
        <v>0</v>
      </c>
      <c r="AH18" s="419"/>
      <c r="AI18" s="419"/>
      <c r="AJ18" s="260">
        <f>AH18*AI18</f>
        <v>0</v>
      </c>
      <c r="AK18" s="259">
        <v>2000000</v>
      </c>
      <c r="AL18" s="259">
        <f>J18+S18+V18+Y18+AB18+AG18+AJ18+AK18+AC18+AD18</f>
        <v>2000000</v>
      </c>
      <c r="AM18" s="415"/>
      <c r="AN18" s="276"/>
      <c r="AO18" s="276"/>
      <c r="AP18" s="276"/>
      <c r="AQ18" s="276"/>
      <c r="AR18" s="262">
        <f>AL18-AM18-AN18-AO18-AP18-AQ18</f>
        <v>2000000</v>
      </c>
      <c r="AS18" s="279"/>
    </row>
    <row r="19" spans="1:45" s="285" customFormat="1" ht="69.75" customHeight="1">
      <c r="A19" s="922"/>
      <c r="B19" s="923"/>
      <c r="C19" s="919"/>
      <c r="D19" s="269" t="s">
        <v>1165</v>
      </c>
      <c r="E19" s="253" t="s">
        <v>515</v>
      </c>
      <c r="F19" s="253" t="s">
        <v>516</v>
      </c>
      <c r="G19" s="270"/>
      <c r="H19" s="280"/>
      <c r="I19" s="280"/>
      <c r="J19" s="257">
        <f>G19*H19*I19</f>
        <v>0</v>
      </c>
      <c r="K19" s="272"/>
      <c r="L19" s="272"/>
      <c r="M19" s="281"/>
      <c r="N19" s="281"/>
      <c r="O19" s="281"/>
      <c r="P19" s="281"/>
      <c r="Q19" s="281"/>
      <c r="R19" s="281"/>
      <c r="S19" s="258">
        <f>(K19*L19*N19)+(K19*L19*M19*O19)+(K19*L19*M19*P19)+(K19*M19*Q19)+(K19*L19*R19)</f>
        <v>0</v>
      </c>
      <c r="T19" s="281"/>
      <c r="U19" s="281"/>
      <c r="V19" s="259">
        <f>T19*U19</f>
        <v>0</v>
      </c>
      <c r="W19" s="282"/>
      <c r="X19" s="282"/>
      <c r="Y19" s="259">
        <f>W19*X19</f>
        <v>0</v>
      </c>
      <c r="Z19" s="283"/>
      <c r="AA19" s="283"/>
      <c r="AB19" s="260">
        <f>Z19*AA19</f>
        <v>0</v>
      </c>
      <c r="AC19" s="668"/>
      <c r="AD19" s="668"/>
      <c r="AE19" s="670"/>
      <c r="AF19" s="670"/>
      <c r="AG19" s="260">
        <f>AE19*AF19</f>
        <v>0</v>
      </c>
      <c r="AH19" s="670"/>
      <c r="AI19" s="670"/>
      <c r="AJ19" s="260">
        <f>AH19*AI19</f>
        <v>0</v>
      </c>
      <c r="AK19" s="284"/>
      <c r="AL19" s="259">
        <f>J19+S19+V19+Y19+AB19+AG19+AJ19+AK19+AC19+AD19</f>
        <v>0</v>
      </c>
      <c r="AM19" s="415"/>
      <c r="AN19" s="276"/>
      <c r="AO19" s="276"/>
      <c r="AP19" s="276"/>
      <c r="AQ19" s="276"/>
      <c r="AR19" s="262">
        <f>AL19-AM19-AN19-AO19-AP19-AQ19</f>
        <v>0</v>
      </c>
      <c r="AS19" s="286"/>
    </row>
    <row r="20" spans="1:45" s="285" customFormat="1" ht="36.75" customHeight="1">
      <c r="A20" s="491"/>
      <c r="B20" s="492"/>
      <c r="C20" s="480"/>
      <c r="D20" s="493"/>
      <c r="E20" s="480"/>
      <c r="F20" s="480"/>
      <c r="G20" s="486"/>
      <c r="H20" s="494"/>
      <c r="I20" s="494"/>
      <c r="J20" s="484">
        <f>SUM(J17:J19)</f>
        <v>0</v>
      </c>
      <c r="K20" s="484"/>
      <c r="L20" s="484"/>
      <c r="M20" s="484"/>
      <c r="N20" s="484"/>
      <c r="O20" s="484"/>
      <c r="P20" s="484"/>
      <c r="Q20" s="484"/>
      <c r="R20" s="484"/>
      <c r="S20" s="484">
        <f>SUM(S17:S19)</f>
        <v>0</v>
      </c>
      <c r="T20" s="484"/>
      <c r="U20" s="484"/>
      <c r="V20" s="484">
        <f>SUM(V17:V19)</f>
        <v>0</v>
      </c>
      <c r="W20" s="484"/>
      <c r="X20" s="484"/>
      <c r="Y20" s="484">
        <f>SUM(Y17:Y19)</f>
        <v>226000</v>
      </c>
      <c r="Z20" s="484"/>
      <c r="AA20" s="484"/>
      <c r="AB20" s="484">
        <f>SUM(AB17:AB19)</f>
        <v>0</v>
      </c>
      <c r="AC20" s="484">
        <f>SUM(AC17:AC19)</f>
        <v>0</v>
      </c>
      <c r="AD20" s="484">
        <f>SUM(AD17:AD19)</f>
        <v>474000</v>
      </c>
      <c r="AE20" s="484"/>
      <c r="AF20" s="484"/>
      <c r="AG20" s="484">
        <f>SUM(AG17:AG19)</f>
        <v>0</v>
      </c>
      <c r="AH20" s="484"/>
      <c r="AI20" s="484"/>
      <c r="AJ20" s="484">
        <f aca="true" t="shared" si="6" ref="AJ20:AR20">SUM(AJ17:AJ19)</f>
        <v>0</v>
      </c>
      <c r="AK20" s="484">
        <f t="shared" si="6"/>
        <v>2000000</v>
      </c>
      <c r="AL20" s="484">
        <f t="shared" si="6"/>
        <v>2700000</v>
      </c>
      <c r="AM20" s="484">
        <f t="shared" si="6"/>
        <v>0</v>
      </c>
      <c r="AN20" s="484">
        <f t="shared" si="6"/>
        <v>700000</v>
      </c>
      <c r="AO20" s="484">
        <f t="shared" si="6"/>
        <v>0</v>
      </c>
      <c r="AP20" s="484">
        <f t="shared" si="6"/>
        <v>0</v>
      </c>
      <c r="AQ20" s="484">
        <f t="shared" si="6"/>
        <v>0</v>
      </c>
      <c r="AR20" s="484">
        <f t="shared" si="6"/>
        <v>2000000</v>
      </c>
      <c r="AS20" s="286"/>
    </row>
    <row r="21" spans="1:45" s="249" customFormat="1" ht="25.5" customHeight="1">
      <c r="A21" s="336"/>
      <c r="B21" s="1204" t="s">
        <v>517</v>
      </c>
      <c r="C21" s="1205"/>
      <c r="D21" s="1205"/>
      <c r="E21" s="1205"/>
      <c r="F21" s="1205"/>
      <c r="G21" s="1205"/>
      <c r="H21" s="1205"/>
      <c r="I21" s="1205"/>
      <c r="J21" s="1205"/>
      <c r="K21" s="1205"/>
      <c r="L21" s="1205"/>
      <c r="M21" s="1205"/>
      <c r="N21" s="1205"/>
      <c r="O21" s="1205"/>
      <c r="P21" s="1205"/>
      <c r="Q21" s="1205"/>
      <c r="R21" s="1205"/>
      <c r="S21" s="1205"/>
      <c r="T21" s="1205"/>
      <c r="U21" s="1205"/>
      <c r="V21" s="1205"/>
      <c r="W21" s="1205"/>
      <c r="X21" s="1205"/>
      <c r="Y21" s="1205"/>
      <c r="Z21" s="1205"/>
      <c r="AA21" s="1205"/>
      <c r="AB21" s="1205"/>
      <c r="AC21" s="1205"/>
      <c r="AD21" s="1205"/>
      <c r="AE21" s="1205"/>
      <c r="AF21" s="1205"/>
      <c r="AG21" s="1205"/>
      <c r="AH21" s="1205"/>
      <c r="AI21" s="1205"/>
      <c r="AJ21" s="1205"/>
      <c r="AK21" s="1205"/>
      <c r="AL21" s="1205"/>
      <c r="AM21" s="1205"/>
      <c r="AN21" s="1205"/>
      <c r="AO21" s="1205"/>
      <c r="AP21" s="1205"/>
      <c r="AQ21" s="1205"/>
      <c r="AR21" s="1206"/>
      <c r="AS21" s="250"/>
    </row>
    <row r="22" spans="1:44" ht="25.5">
      <c r="A22" s="296"/>
      <c r="B22" s="209">
        <v>11.1</v>
      </c>
      <c r="C22" s="750" t="s">
        <v>1166</v>
      </c>
      <c r="D22" s="269" t="s">
        <v>198</v>
      </c>
      <c r="E22" s="331"/>
      <c r="F22" s="308" t="s">
        <v>520</v>
      </c>
      <c r="G22" s="270"/>
      <c r="H22" s="309"/>
      <c r="I22" s="309"/>
      <c r="J22" s="257"/>
      <c r="K22" s="272"/>
      <c r="L22" s="272"/>
      <c r="M22" s="310"/>
      <c r="N22" s="310"/>
      <c r="O22" s="310"/>
      <c r="P22" s="310"/>
      <c r="Q22" s="310"/>
      <c r="R22" s="310"/>
      <c r="S22" s="258"/>
      <c r="T22" s="310"/>
      <c r="U22" s="310"/>
      <c r="V22" s="259"/>
      <c r="W22" s="311"/>
      <c r="X22" s="311"/>
      <c r="Y22" s="259"/>
      <c r="Z22" s="312"/>
      <c r="AA22" s="312"/>
      <c r="AB22" s="260"/>
      <c r="AC22" s="585"/>
      <c r="AD22" s="585"/>
      <c r="AE22" s="603"/>
      <c r="AF22" s="603"/>
      <c r="AG22" s="260"/>
      <c r="AH22" s="603"/>
      <c r="AI22" s="603"/>
      <c r="AJ22" s="260"/>
      <c r="AK22" s="313"/>
      <c r="AL22" s="259">
        <f>J22+S22+V22+Y22+AB22+AG22+AJ22+AK22+AC22+AD22</f>
        <v>0</v>
      </c>
      <c r="AM22" s="415"/>
      <c r="AN22" s="276"/>
      <c r="AO22" s="276"/>
      <c r="AP22" s="276"/>
      <c r="AQ22" s="276"/>
      <c r="AR22" s="262">
        <f>AL22-AM22-AN22-AO22-AP22-AQ22</f>
        <v>0</v>
      </c>
    </row>
    <row r="23" spans="1:44" ht="38.25">
      <c r="A23" s="296"/>
      <c r="B23" s="209">
        <v>11.2</v>
      </c>
      <c r="C23" s="750" t="s">
        <v>1272</v>
      </c>
      <c r="D23" s="269" t="s">
        <v>199</v>
      </c>
      <c r="E23" s="331"/>
      <c r="F23" s="308" t="s">
        <v>1167</v>
      </c>
      <c r="G23" s="270"/>
      <c r="H23" s="309"/>
      <c r="I23" s="309"/>
      <c r="J23" s="257"/>
      <c r="K23" s="272"/>
      <c r="L23" s="272"/>
      <c r="M23" s="310"/>
      <c r="N23" s="310"/>
      <c r="O23" s="310"/>
      <c r="P23" s="310"/>
      <c r="Q23" s="310"/>
      <c r="R23" s="310"/>
      <c r="S23" s="258"/>
      <c r="T23" s="310"/>
      <c r="U23" s="310"/>
      <c r="V23" s="259"/>
      <c r="W23" s="311"/>
      <c r="X23" s="311"/>
      <c r="Y23" s="259"/>
      <c r="Z23" s="312"/>
      <c r="AA23" s="312"/>
      <c r="AB23" s="260"/>
      <c r="AC23" s="585"/>
      <c r="AD23" s="585"/>
      <c r="AE23" s="603"/>
      <c r="AF23" s="603"/>
      <c r="AG23" s="260"/>
      <c r="AH23" s="603"/>
      <c r="AI23" s="603"/>
      <c r="AJ23" s="260"/>
      <c r="AK23" s="313"/>
      <c r="AL23" s="259">
        <f>J23+S23+V23+Y23+AB23+AG23+AJ23+AK23+AC23+AD23</f>
        <v>0</v>
      </c>
      <c r="AM23" s="415"/>
      <c r="AN23" s="276"/>
      <c r="AO23" s="276"/>
      <c r="AP23" s="276"/>
      <c r="AQ23" s="276"/>
      <c r="AR23" s="262">
        <f>AL23-AM23-AN23-AO23-AP23-AQ23</f>
        <v>0</v>
      </c>
    </row>
    <row r="24" spans="1:44" ht="25.5">
      <c r="A24" s="296"/>
      <c r="B24" s="209">
        <v>11.3</v>
      </c>
      <c r="C24" s="750" t="s">
        <v>1210</v>
      </c>
      <c r="D24" s="269" t="s">
        <v>1168</v>
      </c>
      <c r="E24" s="337" t="s">
        <v>1211</v>
      </c>
      <c r="F24" s="338"/>
      <c r="G24" s="339"/>
      <c r="H24" s="340"/>
      <c r="I24" s="340"/>
      <c r="J24" s="341"/>
      <c r="K24" s="342"/>
      <c r="L24" s="272"/>
      <c r="M24" s="310"/>
      <c r="N24" s="310"/>
      <c r="O24" s="310"/>
      <c r="P24" s="310"/>
      <c r="Q24" s="310"/>
      <c r="R24" s="310"/>
      <c r="S24" s="258"/>
      <c r="T24" s="310"/>
      <c r="U24" s="310"/>
      <c r="V24" s="259">
        <v>200000</v>
      </c>
      <c r="W24" s="311"/>
      <c r="X24" s="311"/>
      <c r="Y24" s="259"/>
      <c r="Z24" s="312"/>
      <c r="AA24" s="312"/>
      <c r="AB24" s="260"/>
      <c r="AC24" s="585"/>
      <c r="AD24" s="585">
        <v>200000</v>
      </c>
      <c r="AE24" s="603"/>
      <c r="AF24" s="603"/>
      <c r="AG24" s="260">
        <v>200000</v>
      </c>
      <c r="AH24" s="603"/>
      <c r="AI24" s="603"/>
      <c r="AJ24" s="260"/>
      <c r="AK24" s="313"/>
      <c r="AL24" s="259">
        <f>J24+S24+V24+Y24+AB24+AG24+AJ24+AK24+AC24+AD24</f>
        <v>600000</v>
      </c>
      <c r="AM24" s="415"/>
      <c r="AN24" s="276">
        <v>600000</v>
      </c>
      <c r="AO24" s="276"/>
      <c r="AP24" s="276"/>
      <c r="AQ24" s="276"/>
      <c r="AR24" s="262">
        <f>AL24-AM24-AN24-AO24-AP24-AQ24</f>
        <v>0</v>
      </c>
    </row>
    <row r="25" spans="1:44" ht="11.25" customHeight="1">
      <c r="A25" s="485"/>
      <c r="B25" s="485"/>
      <c r="C25" s="485"/>
      <c r="D25" s="485"/>
      <c r="E25" s="485"/>
      <c r="F25" s="485"/>
      <c r="G25" s="485"/>
      <c r="H25" s="485"/>
      <c r="I25" s="485"/>
      <c r="J25" s="485">
        <f>SUM(J22:J24)</f>
        <v>0</v>
      </c>
      <c r="K25" s="485">
        <f aca="true" t="shared" si="7" ref="K25:AR25">SUM(K22:K24)</f>
        <v>0</v>
      </c>
      <c r="L25" s="485">
        <f t="shared" si="7"/>
        <v>0</v>
      </c>
      <c r="M25" s="485">
        <f t="shared" si="7"/>
        <v>0</v>
      </c>
      <c r="N25" s="485">
        <f t="shared" si="7"/>
        <v>0</v>
      </c>
      <c r="O25" s="485">
        <f t="shared" si="7"/>
        <v>0</v>
      </c>
      <c r="P25" s="485">
        <f t="shared" si="7"/>
        <v>0</v>
      </c>
      <c r="Q25" s="485">
        <f t="shared" si="7"/>
        <v>0</v>
      </c>
      <c r="R25" s="485">
        <f t="shared" si="7"/>
        <v>0</v>
      </c>
      <c r="S25" s="485">
        <f t="shared" si="7"/>
        <v>0</v>
      </c>
      <c r="T25" s="485">
        <f t="shared" si="7"/>
        <v>0</v>
      </c>
      <c r="U25" s="485">
        <f t="shared" si="7"/>
        <v>0</v>
      </c>
      <c r="V25" s="485">
        <f t="shared" si="7"/>
        <v>200000</v>
      </c>
      <c r="W25" s="485">
        <f t="shared" si="7"/>
        <v>0</v>
      </c>
      <c r="X25" s="485">
        <f t="shared" si="7"/>
        <v>0</v>
      </c>
      <c r="Y25" s="485">
        <f t="shared" si="7"/>
        <v>0</v>
      </c>
      <c r="Z25" s="485">
        <f t="shared" si="7"/>
        <v>0</v>
      </c>
      <c r="AA25" s="485">
        <f t="shared" si="7"/>
        <v>0</v>
      </c>
      <c r="AB25" s="485">
        <f t="shared" si="7"/>
        <v>0</v>
      </c>
      <c r="AC25" s="485">
        <f t="shared" si="7"/>
        <v>0</v>
      </c>
      <c r="AD25" s="485">
        <f t="shared" si="7"/>
        <v>200000</v>
      </c>
      <c r="AE25" s="485">
        <f t="shared" si="7"/>
        <v>0</v>
      </c>
      <c r="AF25" s="485">
        <f t="shared" si="7"/>
        <v>0</v>
      </c>
      <c r="AG25" s="485">
        <f t="shared" si="7"/>
        <v>200000</v>
      </c>
      <c r="AH25" s="485">
        <f t="shared" si="7"/>
        <v>0</v>
      </c>
      <c r="AI25" s="485">
        <f t="shared" si="7"/>
        <v>0</v>
      </c>
      <c r="AJ25" s="485">
        <f t="shared" si="7"/>
        <v>0</v>
      </c>
      <c r="AK25" s="485">
        <f t="shared" si="7"/>
        <v>0</v>
      </c>
      <c r="AL25" s="485">
        <f t="shared" si="7"/>
        <v>600000</v>
      </c>
      <c r="AM25" s="485">
        <f t="shared" si="7"/>
        <v>0</v>
      </c>
      <c r="AN25" s="485">
        <f t="shared" si="7"/>
        <v>600000</v>
      </c>
      <c r="AO25" s="485">
        <f t="shared" si="7"/>
        <v>0</v>
      </c>
      <c r="AP25" s="485">
        <f t="shared" si="7"/>
        <v>0</v>
      </c>
      <c r="AQ25" s="485">
        <f t="shared" si="7"/>
        <v>0</v>
      </c>
      <c r="AR25" s="485">
        <f t="shared" si="7"/>
        <v>0</v>
      </c>
    </row>
    <row r="26" spans="1:44" ht="12.75">
      <c r="A26" s="496"/>
      <c r="B26" s="496"/>
      <c r="C26" s="497"/>
      <c r="D26" s="498"/>
      <c r="E26" s="499"/>
      <c r="F26" s="500"/>
      <c r="G26" s="501"/>
      <c r="H26" s="502"/>
      <c r="I26" s="502"/>
      <c r="J26" s="501">
        <f aca="true" t="shared" si="8" ref="J26:AR26">J11+J15+J20+J25</f>
        <v>0</v>
      </c>
      <c r="K26" s="501">
        <f t="shared" si="8"/>
        <v>0</v>
      </c>
      <c r="L26" s="501">
        <f t="shared" si="8"/>
        <v>0</v>
      </c>
      <c r="M26" s="501">
        <f t="shared" si="8"/>
        <v>0</v>
      </c>
      <c r="N26" s="501">
        <f t="shared" si="8"/>
        <v>0</v>
      </c>
      <c r="O26" s="501">
        <f t="shared" si="8"/>
        <v>0</v>
      </c>
      <c r="P26" s="501">
        <f t="shared" si="8"/>
        <v>0</v>
      </c>
      <c r="Q26" s="501">
        <f t="shared" si="8"/>
        <v>0</v>
      </c>
      <c r="R26" s="501">
        <f t="shared" si="8"/>
        <v>0</v>
      </c>
      <c r="S26" s="501">
        <f t="shared" si="8"/>
        <v>4450</v>
      </c>
      <c r="T26" s="501">
        <f t="shared" si="8"/>
        <v>0</v>
      </c>
      <c r="U26" s="501">
        <f t="shared" si="8"/>
        <v>0</v>
      </c>
      <c r="V26" s="501">
        <f t="shared" si="8"/>
        <v>203500</v>
      </c>
      <c r="W26" s="501">
        <f t="shared" si="8"/>
        <v>0</v>
      </c>
      <c r="X26" s="501">
        <f t="shared" si="8"/>
        <v>0</v>
      </c>
      <c r="Y26" s="501">
        <f t="shared" si="8"/>
        <v>282250</v>
      </c>
      <c r="Z26" s="501">
        <f t="shared" si="8"/>
        <v>0</v>
      </c>
      <c r="AA26" s="501">
        <f t="shared" si="8"/>
        <v>0</v>
      </c>
      <c r="AB26" s="501">
        <f t="shared" si="8"/>
        <v>0</v>
      </c>
      <c r="AC26" s="501">
        <f t="shared" si="8"/>
        <v>0</v>
      </c>
      <c r="AD26" s="501">
        <f t="shared" si="8"/>
        <v>674000</v>
      </c>
      <c r="AE26" s="501">
        <f t="shared" si="8"/>
        <v>0</v>
      </c>
      <c r="AF26" s="501">
        <f t="shared" si="8"/>
        <v>0</v>
      </c>
      <c r="AG26" s="501">
        <f t="shared" si="8"/>
        <v>200000</v>
      </c>
      <c r="AH26" s="501">
        <f t="shared" si="8"/>
        <v>0</v>
      </c>
      <c r="AI26" s="501">
        <f t="shared" si="8"/>
        <v>0</v>
      </c>
      <c r="AJ26" s="501">
        <f t="shared" si="8"/>
        <v>0</v>
      </c>
      <c r="AK26" s="501">
        <f t="shared" si="8"/>
        <v>2007950</v>
      </c>
      <c r="AL26" s="501">
        <f t="shared" si="8"/>
        <v>3372150</v>
      </c>
      <c r="AM26" s="501">
        <f t="shared" si="8"/>
        <v>0</v>
      </c>
      <c r="AN26" s="501">
        <f t="shared" si="8"/>
        <v>1300000</v>
      </c>
      <c r="AO26" s="501">
        <f t="shared" si="8"/>
        <v>0</v>
      </c>
      <c r="AP26" s="501">
        <f t="shared" si="8"/>
        <v>0</v>
      </c>
      <c r="AQ26" s="501">
        <f t="shared" si="8"/>
        <v>0</v>
      </c>
      <c r="AR26" s="501">
        <f t="shared" si="8"/>
        <v>2072150</v>
      </c>
    </row>
    <row r="28" ht="12.75">
      <c r="AL28" s="325">
        <f>AM26+AN26+AO26+AP26+AQ26+AR26</f>
        <v>3372150</v>
      </c>
    </row>
  </sheetData>
  <sheetProtection/>
  <mergeCells count="35">
    <mergeCell ref="A17:A19"/>
    <mergeCell ref="A8:AR8"/>
    <mergeCell ref="A12:AR12"/>
    <mergeCell ref="AL3:AL6"/>
    <mergeCell ref="AM3:AR5"/>
    <mergeCell ref="D4:E6"/>
    <mergeCell ref="A9:A10"/>
    <mergeCell ref="B13:B14"/>
    <mergeCell ref="C13:C14"/>
    <mergeCell ref="B16:E16"/>
    <mergeCell ref="A4:A6"/>
    <mergeCell ref="AH5:AJ5"/>
    <mergeCell ref="G4:J5"/>
    <mergeCell ref="K4:S5"/>
    <mergeCell ref="AC5:AC6"/>
    <mergeCell ref="A13:A14"/>
    <mergeCell ref="B4:C6"/>
    <mergeCell ref="B2:P2"/>
    <mergeCell ref="A3:E3"/>
    <mergeCell ref="G3:J3"/>
    <mergeCell ref="K3:AB3"/>
    <mergeCell ref="AE5:AG5"/>
    <mergeCell ref="AC3:AJ4"/>
    <mergeCell ref="T5:V5"/>
    <mergeCell ref="W5:Y5"/>
    <mergeCell ref="F5:F6"/>
    <mergeCell ref="AD5:AD6"/>
    <mergeCell ref="B21:AR21"/>
    <mergeCell ref="B9:B10"/>
    <mergeCell ref="C9:C10"/>
    <mergeCell ref="T4:Y4"/>
    <mergeCell ref="Z4:AB5"/>
    <mergeCell ref="AK3:AK6"/>
    <mergeCell ref="B18:B19"/>
    <mergeCell ref="C18:C19"/>
  </mergeCells>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City Computer</dc:creator>
  <cp:keywords/>
  <dc:description/>
  <cp:lastModifiedBy>Adonis Salem</cp:lastModifiedBy>
  <cp:lastPrinted>2018-05-28T17:14:05Z</cp:lastPrinted>
  <dcterms:created xsi:type="dcterms:W3CDTF">2011-06-14T16:15:51Z</dcterms:created>
  <dcterms:modified xsi:type="dcterms:W3CDTF">2019-12-03T16:06:53Z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