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Data\SIGMA\SIGMA Paper 56\French\"/>
    </mc:Choice>
  </mc:AlternateContent>
  <bookViews>
    <workbookView xWindow="5520" yWindow="465" windowWidth="31380" windowHeight="19845" activeTab="2"/>
  </bookViews>
  <sheets>
    <sheet name="Page de couverture" sheetId="15" r:id="rId1"/>
    <sheet name="Résumé" sheetId="14" r:id="rId2"/>
    <sheet name="A.Budgétisation réal." sheetId="1" r:id="rId3"/>
    <sheet name="Fonction publique et GRH" sheetId="7" r:id="rId4"/>
    <sheet name="EAAP" sheetId="9" r:id="rId5"/>
    <sheet name="Politiques&amp;Suivi&amp;Législation" sheetId="10" r:id="rId6"/>
    <sheet name="Innovation" sheetId="11" r:id="rId7"/>
    <sheet name="Décentralisation " sheetId="12" r:id="rId8"/>
    <sheet name="Transparence &amp; Anti-corruption " sheetId="13" r:id="rId9"/>
  </sheets>
  <externalReferences>
    <externalReference r:id="rId10"/>
  </externalReferences>
  <definedNames>
    <definedName name="_xlnm._FilterDatabase" localSheetId="2" hidden="1">'A.Budgétisation réal.'!#REF!</definedName>
    <definedName name="OLE_LINK3" localSheetId="2">'A.Budgétisation réal.'!#REF!</definedName>
    <definedName name="_xlnm.Print_Area" localSheetId="2">'A.Budgétisation réal.'!$A$2:$L$201</definedName>
    <definedName name="_xlnm.Print_Area" localSheetId="0">'Page de couverture'!$B$1:$J$26</definedName>
    <definedName name="_xlnm.Print_Titles" localSheetId="2">'A.Budgétisation réal.'!#REF!</definedName>
  </definedNames>
  <calcPr calcId="162913"/>
</workbook>
</file>

<file path=xl/calcChain.xml><?xml version="1.0" encoding="utf-8"?>
<calcChain xmlns="http://schemas.openxmlformats.org/spreadsheetml/2006/main">
  <c r="F175" i="1" l="1"/>
  <c r="G46" i="1"/>
  <c r="H31" i="1" l="1"/>
  <c r="D32" i="1"/>
  <c r="G177" i="1" l="1"/>
  <c r="H177" i="1"/>
  <c r="I177" i="1"/>
  <c r="J177" i="1"/>
  <c r="K177" i="1"/>
  <c r="U20" i="10"/>
  <c r="D28" i="1"/>
  <c r="T6" i="9"/>
  <c r="B58" i="14"/>
  <c r="H188" i="1"/>
  <c r="F25" i="14" s="1"/>
  <c r="I188" i="1"/>
  <c r="G25" i="14" s="1"/>
  <c r="G61" i="1"/>
  <c r="H61" i="1"/>
  <c r="I61" i="1"/>
  <c r="J61" i="1"/>
  <c r="K61" i="1"/>
  <c r="G62" i="1"/>
  <c r="H62" i="1"/>
  <c r="I62" i="1"/>
  <c r="J62" i="1"/>
  <c r="K62" i="1"/>
  <c r="G58" i="1"/>
  <c r="H58" i="1"/>
  <c r="I58" i="1"/>
  <c r="J58" i="1"/>
  <c r="K58" i="1"/>
  <c r="G59" i="1"/>
  <c r="H59" i="1"/>
  <c r="I59" i="1"/>
  <c r="J59" i="1"/>
  <c r="K59" i="1"/>
  <c r="G60" i="1"/>
  <c r="H60" i="1"/>
  <c r="I60" i="1"/>
  <c r="J60" i="1"/>
  <c r="K60" i="1"/>
  <c r="G55" i="1"/>
  <c r="H55" i="1"/>
  <c r="I55" i="1"/>
  <c r="J55" i="1"/>
  <c r="K55" i="1"/>
  <c r="G56" i="1"/>
  <c r="H56" i="1"/>
  <c r="I56" i="1"/>
  <c r="J56" i="1"/>
  <c r="K56" i="1"/>
  <c r="G57" i="1"/>
  <c r="H57" i="1"/>
  <c r="I57" i="1"/>
  <c r="J57" i="1"/>
  <c r="K57" i="1"/>
  <c r="G51" i="1"/>
  <c r="H51" i="1"/>
  <c r="I51" i="1"/>
  <c r="J51" i="1"/>
  <c r="K51" i="1"/>
  <c r="G52" i="1"/>
  <c r="H52" i="1"/>
  <c r="I52" i="1"/>
  <c r="J52" i="1"/>
  <c r="K52" i="1"/>
  <c r="G53" i="1"/>
  <c r="H53" i="1"/>
  <c r="I53" i="1"/>
  <c r="J53" i="1"/>
  <c r="K53" i="1"/>
  <c r="G54" i="1"/>
  <c r="H54" i="1"/>
  <c r="I54" i="1"/>
  <c r="J54" i="1"/>
  <c r="K54" i="1"/>
  <c r="G49" i="1"/>
  <c r="H49" i="1"/>
  <c r="I49" i="1"/>
  <c r="J49" i="1"/>
  <c r="K49" i="1"/>
  <c r="G50" i="1"/>
  <c r="H50" i="1"/>
  <c r="I50" i="1"/>
  <c r="J50" i="1"/>
  <c r="K50" i="1"/>
  <c r="G45" i="1"/>
  <c r="H45" i="1"/>
  <c r="I45" i="1"/>
  <c r="J45" i="1"/>
  <c r="K45" i="1"/>
  <c r="H46" i="1"/>
  <c r="I46" i="1"/>
  <c r="J46" i="1"/>
  <c r="K46" i="1"/>
  <c r="G47" i="1"/>
  <c r="H47" i="1"/>
  <c r="I47" i="1"/>
  <c r="J47" i="1"/>
  <c r="K47" i="1"/>
  <c r="G48" i="1"/>
  <c r="H48" i="1"/>
  <c r="I48" i="1"/>
  <c r="J48" i="1"/>
  <c r="K48" i="1"/>
  <c r="G43" i="1"/>
  <c r="H43" i="1"/>
  <c r="I43" i="1"/>
  <c r="J43" i="1"/>
  <c r="K43" i="1"/>
  <c r="G44" i="1"/>
  <c r="H44" i="1"/>
  <c r="I44" i="1"/>
  <c r="J44" i="1"/>
  <c r="K44" i="1"/>
  <c r="D101" i="1"/>
  <c r="B101" i="1"/>
  <c r="AR18" i="7"/>
  <c r="G174" i="1"/>
  <c r="I174" i="1"/>
  <c r="J174" i="1"/>
  <c r="K174" i="1"/>
  <c r="G175" i="1"/>
  <c r="H175" i="1"/>
  <c r="I175" i="1"/>
  <c r="J175" i="1"/>
  <c r="K175" i="1"/>
  <c r="G176" i="1"/>
  <c r="H176" i="1"/>
  <c r="I176" i="1"/>
  <c r="J176" i="1"/>
  <c r="K176" i="1"/>
  <c r="D175" i="1"/>
  <c r="D174" i="1"/>
  <c r="G116" i="1"/>
  <c r="H116" i="1"/>
  <c r="I116" i="1"/>
  <c r="J116" i="1"/>
  <c r="K116" i="1"/>
  <c r="G117" i="1"/>
  <c r="H117" i="1"/>
  <c r="I117" i="1"/>
  <c r="J117" i="1"/>
  <c r="K117" i="1"/>
  <c r="D117" i="1"/>
  <c r="D116" i="1"/>
  <c r="D50" i="1"/>
  <c r="D49" i="1"/>
  <c r="K25" i="13"/>
  <c r="K26" i="13"/>
  <c r="L25" i="13"/>
  <c r="L26" i="13"/>
  <c r="M25" i="13"/>
  <c r="M26" i="13"/>
  <c r="N25" i="13"/>
  <c r="N26" i="13"/>
  <c r="O25" i="13"/>
  <c r="O26" i="13"/>
  <c r="P25" i="13"/>
  <c r="P26" i="13"/>
  <c r="Q25" i="13"/>
  <c r="Q26" i="13"/>
  <c r="R25" i="13"/>
  <c r="R26" i="13"/>
  <c r="S25" i="13"/>
  <c r="T25" i="13"/>
  <c r="U25" i="13"/>
  <c r="U26" i="13"/>
  <c r="V25" i="13"/>
  <c r="W25" i="13"/>
  <c r="X25" i="13"/>
  <c r="Y25" i="13"/>
  <c r="Z25" i="13"/>
  <c r="AA25" i="13"/>
  <c r="AB25" i="13"/>
  <c r="AC25" i="13"/>
  <c r="AD25" i="13"/>
  <c r="AE25" i="13"/>
  <c r="AF25" i="13"/>
  <c r="AG25" i="13"/>
  <c r="AH25" i="13"/>
  <c r="AI25" i="13"/>
  <c r="AJ25" i="13"/>
  <c r="AK25" i="13"/>
  <c r="AM25" i="13"/>
  <c r="AN25" i="13"/>
  <c r="AO25" i="13"/>
  <c r="P183" i="1"/>
  <c r="AP25" i="13"/>
  <c r="Q183" i="1"/>
  <c r="AQ25" i="13"/>
  <c r="J25" i="13"/>
  <c r="AC20" i="13"/>
  <c r="AK20" i="13"/>
  <c r="AO20" i="13"/>
  <c r="P178" i="1"/>
  <c r="AP20" i="13"/>
  <c r="Q178" i="1"/>
  <c r="AQ20" i="13"/>
  <c r="R178" i="1"/>
  <c r="S18" i="13"/>
  <c r="S19" i="13"/>
  <c r="S17" i="13"/>
  <c r="T15" i="13"/>
  <c r="U15" i="13"/>
  <c r="W15" i="13"/>
  <c r="X15" i="13"/>
  <c r="Y15" i="13"/>
  <c r="Z15" i="13"/>
  <c r="AA15" i="13"/>
  <c r="AB15" i="13"/>
  <c r="AC15" i="13"/>
  <c r="AD15" i="13"/>
  <c r="AE15" i="13"/>
  <c r="AF15" i="13"/>
  <c r="AG15" i="13"/>
  <c r="AH15" i="13"/>
  <c r="AI15" i="13"/>
  <c r="AJ15" i="13"/>
  <c r="AK15" i="13"/>
  <c r="AM15" i="13"/>
  <c r="AN15" i="13"/>
  <c r="AO15" i="13"/>
  <c r="AP15" i="13"/>
  <c r="AQ15" i="13"/>
  <c r="Z11" i="13"/>
  <c r="AA11" i="13"/>
  <c r="AA26" i="13"/>
  <c r="AB11" i="13"/>
  <c r="AC11" i="13"/>
  <c r="AC26" i="13" s="1"/>
  <c r="G41" i="14" s="1"/>
  <c r="AD11" i="13"/>
  <c r="AE11" i="13"/>
  <c r="AE26" i="13" s="1"/>
  <c r="AF11" i="13"/>
  <c r="AG11" i="13"/>
  <c r="AH11" i="13"/>
  <c r="AI11" i="13"/>
  <c r="AI26" i="13"/>
  <c r="AJ11" i="13"/>
  <c r="AM11" i="13"/>
  <c r="AN11" i="13"/>
  <c r="AO11" i="13"/>
  <c r="AP11" i="13"/>
  <c r="AQ11" i="13"/>
  <c r="AD17" i="13"/>
  <c r="S13" i="13"/>
  <c r="S14" i="13"/>
  <c r="J13" i="13"/>
  <c r="J14" i="13"/>
  <c r="AK10" i="13"/>
  <c r="AK11" i="13" s="1"/>
  <c r="AK26" i="13" s="1"/>
  <c r="K41" i="14" s="1"/>
  <c r="Y10" i="13"/>
  <c r="Y11" i="13" s="1"/>
  <c r="V9" i="13"/>
  <c r="V10" i="13"/>
  <c r="V14" i="13"/>
  <c r="V15" i="13" s="1"/>
  <c r="S9" i="13"/>
  <c r="S11" i="13" s="1"/>
  <c r="S10" i="13"/>
  <c r="J9" i="13"/>
  <c r="J10" i="13"/>
  <c r="AM81" i="10"/>
  <c r="AM83" i="10"/>
  <c r="AM87" i="10" s="1"/>
  <c r="X82" i="10"/>
  <c r="G102" i="1"/>
  <c r="H102" i="1"/>
  <c r="I102" i="1"/>
  <c r="J102" i="1"/>
  <c r="K102" i="1"/>
  <c r="G98" i="1"/>
  <c r="H98" i="1"/>
  <c r="I98" i="1"/>
  <c r="J98" i="1"/>
  <c r="H99" i="1"/>
  <c r="H103" i="1" s="1"/>
  <c r="E11" i="14" s="1"/>
  <c r="I99" i="1"/>
  <c r="J99" i="1"/>
  <c r="K99" i="1"/>
  <c r="H100" i="1"/>
  <c r="I100" i="1"/>
  <c r="K100" i="1"/>
  <c r="G92" i="1"/>
  <c r="H92" i="1"/>
  <c r="I92" i="1"/>
  <c r="J92" i="1"/>
  <c r="K92" i="1"/>
  <c r="G93" i="1"/>
  <c r="H93" i="1"/>
  <c r="I93" i="1"/>
  <c r="J93" i="1"/>
  <c r="K93" i="1"/>
  <c r="G94" i="1"/>
  <c r="H94" i="1"/>
  <c r="I94" i="1"/>
  <c r="J94" i="1"/>
  <c r="K94" i="1"/>
  <c r="G95" i="1"/>
  <c r="H95" i="1"/>
  <c r="I95" i="1"/>
  <c r="J95" i="1"/>
  <c r="K95" i="1"/>
  <c r="G91" i="1"/>
  <c r="H91" i="1"/>
  <c r="I91" i="1"/>
  <c r="J91" i="1"/>
  <c r="K91" i="1"/>
  <c r="G90" i="1"/>
  <c r="H90" i="1"/>
  <c r="I90" i="1"/>
  <c r="J90" i="1"/>
  <c r="K90" i="1"/>
  <c r="G87" i="1"/>
  <c r="H87" i="1"/>
  <c r="I87" i="1"/>
  <c r="J87" i="1"/>
  <c r="K87" i="1"/>
  <c r="G88" i="1"/>
  <c r="H88" i="1"/>
  <c r="I88" i="1"/>
  <c r="J88" i="1"/>
  <c r="K88" i="1"/>
  <c r="G89" i="1"/>
  <c r="H89" i="1"/>
  <c r="I89" i="1"/>
  <c r="J89" i="1"/>
  <c r="K89" i="1"/>
  <c r="G86" i="1"/>
  <c r="H86" i="1"/>
  <c r="H96" i="1" s="1"/>
  <c r="I86" i="1"/>
  <c r="J86" i="1"/>
  <c r="J96" i="1" s="1"/>
  <c r="G10" i="14" s="1"/>
  <c r="K86" i="1"/>
  <c r="K96" i="1"/>
  <c r="G66" i="1"/>
  <c r="H66" i="1"/>
  <c r="I66" i="1"/>
  <c r="J66" i="1"/>
  <c r="K66" i="1"/>
  <c r="G67" i="1"/>
  <c r="H67" i="1"/>
  <c r="I67" i="1"/>
  <c r="J67" i="1"/>
  <c r="K67" i="1"/>
  <c r="G68" i="1"/>
  <c r="H68" i="1"/>
  <c r="I68" i="1"/>
  <c r="J68" i="1"/>
  <c r="K68" i="1"/>
  <c r="G69" i="1"/>
  <c r="H69" i="1"/>
  <c r="I69" i="1"/>
  <c r="J69" i="1"/>
  <c r="K69" i="1"/>
  <c r="G70" i="1"/>
  <c r="H70" i="1"/>
  <c r="I70" i="1"/>
  <c r="J70" i="1"/>
  <c r="K70" i="1"/>
  <c r="G71" i="1"/>
  <c r="H71" i="1"/>
  <c r="I71" i="1"/>
  <c r="J71" i="1"/>
  <c r="K71" i="1"/>
  <c r="G72" i="1"/>
  <c r="H72" i="1"/>
  <c r="I72" i="1"/>
  <c r="J72" i="1"/>
  <c r="K72" i="1"/>
  <c r="G73" i="1"/>
  <c r="H73" i="1"/>
  <c r="I73" i="1"/>
  <c r="J73" i="1"/>
  <c r="K73" i="1"/>
  <c r="G74" i="1"/>
  <c r="H74" i="1"/>
  <c r="I74" i="1"/>
  <c r="J74" i="1"/>
  <c r="K74" i="1"/>
  <c r="G75" i="1"/>
  <c r="H75" i="1"/>
  <c r="I75" i="1"/>
  <c r="K75" i="1"/>
  <c r="G76" i="1"/>
  <c r="H76" i="1"/>
  <c r="I76" i="1"/>
  <c r="K76" i="1"/>
  <c r="G77" i="1"/>
  <c r="H77" i="1"/>
  <c r="I77" i="1"/>
  <c r="J77" i="1"/>
  <c r="K77" i="1"/>
  <c r="G78" i="1"/>
  <c r="H78" i="1"/>
  <c r="I78" i="1"/>
  <c r="J78" i="1"/>
  <c r="K78" i="1"/>
  <c r="G79" i="1"/>
  <c r="H79" i="1"/>
  <c r="I79" i="1"/>
  <c r="J79" i="1"/>
  <c r="K79" i="1"/>
  <c r="H80" i="1"/>
  <c r="I80" i="1"/>
  <c r="J80" i="1"/>
  <c r="K80" i="1"/>
  <c r="H81" i="1"/>
  <c r="I81" i="1"/>
  <c r="J81" i="1"/>
  <c r="K81" i="1"/>
  <c r="H82" i="1"/>
  <c r="I82" i="1"/>
  <c r="J82" i="1"/>
  <c r="K82" i="1"/>
  <c r="G83" i="1"/>
  <c r="H83" i="1"/>
  <c r="I83" i="1"/>
  <c r="J83" i="1"/>
  <c r="K83" i="1"/>
  <c r="H65" i="1"/>
  <c r="I65" i="1"/>
  <c r="J65" i="1"/>
  <c r="K65" i="1"/>
  <c r="G65" i="1"/>
  <c r="K13" i="12"/>
  <c r="K16" i="12" s="1"/>
  <c r="L13" i="12"/>
  <c r="L16" i="12" s="1"/>
  <c r="M13" i="12"/>
  <c r="M16" i="12" s="1"/>
  <c r="N13" i="12"/>
  <c r="N16" i="12" s="1"/>
  <c r="O13" i="12"/>
  <c r="O16" i="12" s="1"/>
  <c r="P13" i="12"/>
  <c r="P16" i="12" s="1"/>
  <c r="Q13" i="12"/>
  <c r="Q16" i="12" s="1"/>
  <c r="R13" i="12"/>
  <c r="R16" i="12" s="1"/>
  <c r="T13" i="12"/>
  <c r="T16" i="12" s="1"/>
  <c r="U13" i="12"/>
  <c r="U16" i="12" s="1"/>
  <c r="V13" i="12"/>
  <c r="W13" i="12"/>
  <c r="W16" i="12"/>
  <c r="X13" i="12"/>
  <c r="X16" i="12"/>
  <c r="Z13" i="12"/>
  <c r="Z16" i="12"/>
  <c r="AA13" i="12"/>
  <c r="AA16" i="12"/>
  <c r="AC13" i="12"/>
  <c r="AD13" i="12"/>
  <c r="AD16" i="12" s="1"/>
  <c r="H40" i="14" s="1"/>
  <c r="AE13" i="12"/>
  <c r="AE16" i="12"/>
  <c r="AF13" i="12"/>
  <c r="AF16" i="12"/>
  <c r="AH13" i="12"/>
  <c r="AH16" i="12"/>
  <c r="AI13" i="12"/>
  <c r="AI16" i="12"/>
  <c r="AK13" i="12"/>
  <c r="AK16" i="12"/>
  <c r="K40" i="14" s="1"/>
  <c r="AM13" i="12"/>
  <c r="AM16" i="12" s="1"/>
  <c r="AN13" i="12"/>
  <c r="AN16" i="12" s="1"/>
  <c r="G191" i="1" s="1"/>
  <c r="E28" i="14" s="1"/>
  <c r="AO13" i="12"/>
  <c r="AP13" i="12"/>
  <c r="AP16" i="12" s="1"/>
  <c r="I191" i="1" s="1"/>
  <c r="G28" i="14" s="1"/>
  <c r="AQ13" i="12"/>
  <c r="AQ16" i="12" s="1"/>
  <c r="J191" i="1" s="1"/>
  <c r="H28" i="14" s="1"/>
  <c r="L35" i="11"/>
  <c r="M35" i="11"/>
  <c r="N35" i="11"/>
  <c r="O35" i="11"/>
  <c r="P35" i="11"/>
  <c r="Q35" i="11"/>
  <c r="R35" i="11"/>
  <c r="S35" i="11"/>
  <c r="U35" i="11"/>
  <c r="V35" i="11"/>
  <c r="X35" i="11"/>
  <c r="Y35" i="11"/>
  <c r="AA35" i="11"/>
  <c r="AB35" i="11"/>
  <c r="AD35" i="11"/>
  <c r="AF35" i="11"/>
  <c r="AG35" i="11"/>
  <c r="AI35" i="11"/>
  <c r="AJ35" i="11"/>
  <c r="AL35" i="11"/>
  <c r="AO35" i="11"/>
  <c r="O172" i="1"/>
  <c r="AP35" i="11"/>
  <c r="AR35" i="11"/>
  <c r="R172" i="1" s="1"/>
  <c r="AX35" i="11"/>
  <c r="AA28" i="11"/>
  <c r="AB28" i="11"/>
  <c r="AD28" i="11"/>
  <c r="AE28" i="11"/>
  <c r="AF28" i="11"/>
  <c r="AG28" i="11"/>
  <c r="AI28" i="11"/>
  <c r="AJ28" i="11"/>
  <c r="AL28" i="11"/>
  <c r="AP28" i="11"/>
  <c r="P165" i="1" s="1"/>
  <c r="AR28" i="11"/>
  <c r="R165" i="1" s="1"/>
  <c r="AX28" i="11"/>
  <c r="L14" i="11"/>
  <c r="M14" i="11"/>
  <c r="N14" i="11"/>
  <c r="O14" i="11"/>
  <c r="P14" i="11"/>
  <c r="Q14" i="11"/>
  <c r="R14" i="11"/>
  <c r="S14" i="11"/>
  <c r="U14" i="11"/>
  <c r="V14" i="11"/>
  <c r="X14" i="11"/>
  <c r="Y14" i="11"/>
  <c r="AA14" i="11"/>
  <c r="AB14" i="11"/>
  <c r="AE14" i="11"/>
  <c r="AF14" i="11"/>
  <c r="AG14" i="11"/>
  <c r="AG36" i="11" s="1"/>
  <c r="AI14" i="11"/>
  <c r="AJ14" i="11"/>
  <c r="AJ36" i="11" s="1"/>
  <c r="AO14" i="11"/>
  <c r="O103" i="1" s="1"/>
  <c r="AP14" i="11"/>
  <c r="P103" i="1" s="1"/>
  <c r="AT14" i="11"/>
  <c r="AX14" i="11"/>
  <c r="AX36" i="11" s="1"/>
  <c r="M88" i="10"/>
  <c r="N88" i="10"/>
  <c r="O88" i="10"/>
  <c r="P88" i="10"/>
  <c r="Q88" i="10"/>
  <c r="R88" i="10"/>
  <c r="S88" i="10"/>
  <c r="T88" i="10"/>
  <c r="V88" i="10"/>
  <c r="W88" i="10"/>
  <c r="Y88" i="10"/>
  <c r="Z88" i="10"/>
  <c r="AE87" i="10"/>
  <c r="AF87" i="10"/>
  <c r="AG87" i="10"/>
  <c r="AH87" i="10"/>
  <c r="AJ87" i="10"/>
  <c r="AK87" i="10"/>
  <c r="AP87" i="10"/>
  <c r="O84" i="1"/>
  <c r="AQ87" i="10"/>
  <c r="P84" i="1"/>
  <c r="AS87" i="10"/>
  <c r="R84" i="1"/>
  <c r="I64" i="10"/>
  <c r="J64" i="10"/>
  <c r="K64" i="10"/>
  <c r="AB64" i="10"/>
  <c r="AB88" i="10" s="1"/>
  <c r="AC64" i="10"/>
  <c r="AC88" i="10" s="1"/>
  <c r="AE64" i="10"/>
  <c r="AF64" i="10"/>
  <c r="AG64" i="10"/>
  <c r="AH64" i="10"/>
  <c r="AJ64" i="10"/>
  <c r="AK64" i="10"/>
  <c r="AO64" i="10"/>
  <c r="N63" i="1" s="1"/>
  <c r="AP64" i="10"/>
  <c r="O63" i="1" s="1"/>
  <c r="AQ64" i="10"/>
  <c r="AR64" i="10"/>
  <c r="Q63" i="1"/>
  <c r="AS64" i="10"/>
  <c r="AE42" i="10"/>
  <c r="AE88" i="10" s="1"/>
  <c r="G38" i="14" s="1"/>
  <c r="AF42" i="10"/>
  <c r="AF88" i="10"/>
  <c r="H38" i="14" s="1"/>
  <c r="AG42" i="10"/>
  <c r="AH42" i="10"/>
  <c r="AH88" i="10" s="1"/>
  <c r="AJ42" i="10"/>
  <c r="AK42" i="10"/>
  <c r="AK88" i="10" s="1"/>
  <c r="AO42" i="10"/>
  <c r="N41" i="1" s="1"/>
  <c r="N42" i="1" s="1"/>
  <c r="AQ42" i="10"/>
  <c r="AQ88" i="10" s="1"/>
  <c r="H189" i="1" s="1"/>
  <c r="AS42" i="10"/>
  <c r="AM43" i="7"/>
  <c r="N151" i="1" s="1"/>
  <c r="K43" i="7"/>
  <c r="K44" i="7" s="1"/>
  <c r="L43" i="7"/>
  <c r="L44" i="7" s="1"/>
  <c r="M43" i="7"/>
  <c r="M44" i="7" s="1"/>
  <c r="N43" i="7"/>
  <c r="N44" i="7" s="1"/>
  <c r="O43" i="7"/>
  <c r="O44" i="7" s="1"/>
  <c r="P43" i="7"/>
  <c r="P44" i="7" s="1"/>
  <c r="Q43" i="7"/>
  <c r="Q44" i="7" s="1"/>
  <c r="R43" i="7"/>
  <c r="R44" i="7" s="1"/>
  <c r="Z43" i="7"/>
  <c r="AA43" i="7"/>
  <c r="AC43" i="7"/>
  <c r="AD43" i="7"/>
  <c r="AE43" i="7"/>
  <c r="AF43" i="7"/>
  <c r="AH43" i="7"/>
  <c r="AI43" i="7"/>
  <c r="AK43" i="7"/>
  <c r="AN43" i="7"/>
  <c r="O151" i="1"/>
  <c r="AO43" i="7"/>
  <c r="AP43" i="7"/>
  <c r="Q151" i="1" s="1"/>
  <c r="AQ43" i="7"/>
  <c r="Z37" i="7"/>
  <c r="AA37" i="7"/>
  <c r="AC37" i="7"/>
  <c r="AD37" i="7"/>
  <c r="AE37" i="7"/>
  <c r="AF37" i="7"/>
  <c r="AH37" i="7"/>
  <c r="AI37" i="7"/>
  <c r="AK37" i="7"/>
  <c r="AM37" i="7"/>
  <c r="AO37" i="7"/>
  <c r="AQ37" i="7"/>
  <c r="Z15" i="7"/>
  <c r="AA15" i="7"/>
  <c r="AC15" i="7"/>
  <c r="AD15" i="7"/>
  <c r="AD44" i="7" s="1"/>
  <c r="H36" i="14" s="1"/>
  <c r="AE15" i="7"/>
  <c r="AE44" i="7"/>
  <c r="AF15" i="7"/>
  <c r="AH15" i="7"/>
  <c r="AH44" i="7" s="1"/>
  <c r="AI15" i="7"/>
  <c r="AK15" i="7"/>
  <c r="AM15" i="7"/>
  <c r="AM44" i="7" s="1"/>
  <c r="F187" i="1" s="1"/>
  <c r="AN15" i="7"/>
  <c r="AO15" i="7"/>
  <c r="P96" i="1" s="1"/>
  <c r="AP15" i="7"/>
  <c r="Q96" i="1"/>
  <c r="AQ15" i="7"/>
  <c r="L180" i="1"/>
  <c r="AJ19" i="13"/>
  <c r="AG19" i="13"/>
  <c r="AB19" i="13"/>
  <c r="Y19" i="13"/>
  <c r="V19" i="13"/>
  <c r="J19" i="13"/>
  <c r="AJ18" i="13"/>
  <c r="AG18" i="13"/>
  <c r="AB18" i="13"/>
  <c r="Y18" i="13"/>
  <c r="V18" i="13"/>
  <c r="J18" i="13"/>
  <c r="AJ17" i="13"/>
  <c r="AG17" i="13"/>
  <c r="AB17" i="13"/>
  <c r="V17" i="13"/>
  <c r="J17" i="13"/>
  <c r="R41" i="1"/>
  <c r="D102" i="1"/>
  <c r="D93" i="1"/>
  <c r="D94" i="1"/>
  <c r="D95" i="1"/>
  <c r="D92" i="1"/>
  <c r="S10" i="12"/>
  <c r="AL10" i="12" s="1"/>
  <c r="AR10" i="12" s="1"/>
  <c r="L93" i="1" s="1"/>
  <c r="S11" i="12"/>
  <c r="AD15" i="12"/>
  <c r="S15" i="12"/>
  <c r="AC15" i="12"/>
  <c r="AJ15" i="12"/>
  <c r="AG15" i="12"/>
  <c r="AB15" i="12"/>
  <c r="Y15" i="12"/>
  <c r="V15" i="12"/>
  <c r="J15" i="12"/>
  <c r="AJ12" i="12"/>
  <c r="AB12" i="12"/>
  <c r="S12" i="12"/>
  <c r="J12" i="12"/>
  <c r="AL12" i="12" s="1"/>
  <c r="AJ9" i="12"/>
  <c r="AJ13" i="12"/>
  <c r="AJ16" i="12" s="1"/>
  <c r="J40" i="14" s="1"/>
  <c r="AG9" i="12"/>
  <c r="AB9" i="12"/>
  <c r="S9" i="12"/>
  <c r="J9" i="12"/>
  <c r="AL10" i="7"/>
  <c r="AL36" i="7"/>
  <c r="H153" i="1"/>
  <c r="I153" i="1"/>
  <c r="J153" i="1"/>
  <c r="K153" i="1"/>
  <c r="H154" i="1"/>
  <c r="I154" i="1"/>
  <c r="J154" i="1"/>
  <c r="K154" i="1"/>
  <c r="H155" i="1"/>
  <c r="I155" i="1"/>
  <c r="J155" i="1"/>
  <c r="K155" i="1"/>
  <c r="H156" i="1"/>
  <c r="I156" i="1"/>
  <c r="J156" i="1"/>
  <c r="K156" i="1"/>
  <c r="H157" i="1"/>
  <c r="I157" i="1"/>
  <c r="J157" i="1"/>
  <c r="K157" i="1"/>
  <c r="G158" i="1"/>
  <c r="H158" i="1"/>
  <c r="I158" i="1"/>
  <c r="K158" i="1"/>
  <c r="G159" i="1"/>
  <c r="I159" i="1"/>
  <c r="J159" i="1"/>
  <c r="K159" i="1"/>
  <c r="G160" i="1"/>
  <c r="I160" i="1"/>
  <c r="J160" i="1"/>
  <c r="K160" i="1"/>
  <c r="H161" i="1"/>
  <c r="I161" i="1"/>
  <c r="J161" i="1"/>
  <c r="K161" i="1"/>
  <c r="H162" i="1"/>
  <c r="I162" i="1"/>
  <c r="J162" i="1"/>
  <c r="K162" i="1"/>
  <c r="G163" i="1"/>
  <c r="H163" i="1"/>
  <c r="I163" i="1"/>
  <c r="J163" i="1"/>
  <c r="K163" i="1"/>
  <c r="G164" i="1"/>
  <c r="H164" i="1"/>
  <c r="I164" i="1"/>
  <c r="J164" i="1"/>
  <c r="K164" i="1"/>
  <c r="G171" i="1"/>
  <c r="H171" i="1"/>
  <c r="I171" i="1"/>
  <c r="K171" i="1"/>
  <c r="G170" i="1"/>
  <c r="H170" i="1"/>
  <c r="I170" i="1"/>
  <c r="J170" i="1"/>
  <c r="K170" i="1"/>
  <c r="AN40" i="11"/>
  <c r="T33" i="11"/>
  <c r="Z11" i="11"/>
  <c r="AK34" i="11"/>
  <c r="AH34" i="11"/>
  <c r="AE34" i="11"/>
  <c r="AE35" i="11"/>
  <c r="AE36" i="11" s="1"/>
  <c r="H39" i="14" s="1"/>
  <c r="AC34" i="11"/>
  <c r="Z34" i="11"/>
  <c r="W34" i="11"/>
  <c r="T34" i="11"/>
  <c r="K34" i="11"/>
  <c r="AK33" i="11"/>
  <c r="AH33" i="11"/>
  <c r="AC33" i="11"/>
  <c r="Z33" i="11"/>
  <c r="W33" i="11"/>
  <c r="K33" i="11"/>
  <c r="AM33" i="11" s="1"/>
  <c r="AS33" i="11" s="1"/>
  <c r="L170" i="1" s="1"/>
  <c r="AN32" i="11"/>
  <c r="AN35" i="11" s="1"/>
  <c r="N172" i="1" s="1"/>
  <c r="AK32" i="11"/>
  <c r="AC32" i="11"/>
  <c r="Z32" i="11"/>
  <c r="W32" i="11"/>
  <c r="T32" i="11"/>
  <c r="K32" i="11"/>
  <c r="AK31" i="11"/>
  <c r="AH31" i="11"/>
  <c r="AC31" i="11"/>
  <c r="Z31" i="11"/>
  <c r="W31" i="11"/>
  <c r="T31" i="11"/>
  <c r="K31" i="11"/>
  <c r="AK30" i="11"/>
  <c r="AH30" i="11"/>
  <c r="AH35" i="11"/>
  <c r="AC30" i="11"/>
  <c r="Z30" i="11"/>
  <c r="W30" i="11"/>
  <c r="T30" i="11"/>
  <c r="K30" i="11"/>
  <c r="AC29" i="11"/>
  <c r="Z29" i="11"/>
  <c r="W29" i="11"/>
  <c r="T29" i="11"/>
  <c r="K29" i="11"/>
  <c r="K35" i="11" s="1"/>
  <c r="AK27" i="11"/>
  <c r="AH27" i="11"/>
  <c r="AC27" i="11"/>
  <c r="Z27" i="11"/>
  <c r="W27" i="11"/>
  <c r="T27" i="11"/>
  <c r="K27" i="11"/>
  <c r="AK26" i="11"/>
  <c r="AH26" i="11"/>
  <c r="AC26" i="11"/>
  <c r="Z26" i="11"/>
  <c r="W26" i="11"/>
  <c r="T26" i="11"/>
  <c r="K26" i="11"/>
  <c r="AK25" i="11"/>
  <c r="AH25" i="11"/>
  <c r="AC25" i="11"/>
  <c r="Z25" i="11"/>
  <c r="W25" i="11"/>
  <c r="T25" i="11"/>
  <c r="K25" i="11"/>
  <c r="AM25" i="11" s="1"/>
  <c r="AK24" i="11"/>
  <c r="AH24" i="11"/>
  <c r="AC24" i="11"/>
  <c r="Z24" i="11"/>
  <c r="W24" i="11"/>
  <c r="T24" i="11"/>
  <c r="K24" i="11"/>
  <c r="AK23" i="11"/>
  <c r="AH23" i="11"/>
  <c r="AC23" i="11"/>
  <c r="X23" i="11"/>
  <c r="Z23" i="11"/>
  <c r="U23" i="11"/>
  <c r="W23" i="11"/>
  <c r="T23" i="11"/>
  <c r="K23" i="11"/>
  <c r="AM23" i="11" s="1"/>
  <c r="AK22" i="11"/>
  <c r="AH22" i="11"/>
  <c r="AC22" i="11"/>
  <c r="Z22" i="11"/>
  <c r="T22" i="11"/>
  <c r="K22" i="11"/>
  <c r="AK21" i="11"/>
  <c r="AH21" i="11"/>
  <c r="AC21" i="11"/>
  <c r="Z21" i="11"/>
  <c r="U21" i="11"/>
  <c r="W21" i="11" s="1"/>
  <c r="T21" i="11"/>
  <c r="K21" i="11"/>
  <c r="AM21" i="11" s="1"/>
  <c r="AK20" i="11"/>
  <c r="AC20" i="11"/>
  <c r="Z20" i="11"/>
  <c r="W20" i="11"/>
  <c r="T20" i="11"/>
  <c r="K20" i="11"/>
  <c r="AK19" i="11"/>
  <c r="AH19" i="11"/>
  <c r="AC19" i="11"/>
  <c r="X19" i="11"/>
  <c r="Z19" i="11" s="1"/>
  <c r="U19" i="11"/>
  <c r="W19" i="11" s="1"/>
  <c r="T19" i="11"/>
  <c r="K19" i="11"/>
  <c r="AN18" i="11"/>
  <c r="G155" i="1" s="1"/>
  <c r="AC18" i="11"/>
  <c r="T18" i="11"/>
  <c r="AM18" i="11" s="1"/>
  <c r="AK17" i="11"/>
  <c r="AH17" i="11"/>
  <c r="AC17" i="11"/>
  <c r="Z17" i="11"/>
  <c r="W17" i="11"/>
  <c r="T17" i="11"/>
  <c r="K17" i="11"/>
  <c r="AK16" i="11"/>
  <c r="AH16" i="11"/>
  <c r="AC16" i="11"/>
  <c r="Z16" i="11"/>
  <c r="W16" i="11"/>
  <c r="T16" i="11"/>
  <c r="T28" i="11"/>
  <c r="K16" i="11"/>
  <c r="AM16" i="11"/>
  <c r="AK12" i="11"/>
  <c r="AH12" i="11"/>
  <c r="AH14" i="11" s="1"/>
  <c r="AD12" i="11"/>
  <c r="AC12" i="11"/>
  <c r="Z12" i="11"/>
  <c r="Z14" i="11" s="1"/>
  <c r="W12" i="11"/>
  <c r="T12" i="11"/>
  <c r="K12" i="11"/>
  <c r="AL11" i="11"/>
  <c r="AL14" i="11"/>
  <c r="AL36" i="11" s="1"/>
  <c r="K39" i="14" s="1"/>
  <c r="AK11" i="11"/>
  <c r="AK14" i="11"/>
  <c r="W11" i="11"/>
  <c r="T11" i="11"/>
  <c r="K11" i="11"/>
  <c r="AN11" i="11" s="1"/>
  <c r="G99" i="1" s="1"/>
  <c r="AC10" i="11"/>
  <c r="AC14" i="11"/>
  <c r="W10" i="11"/>
  <c r="T10" i="11"/>
  <c r="K10" i="11"/>
  <c r="D98" i="1"/>
  <c r="G22" i="1"/>
  <c r="H22" i="1"/>
  <c r="I22" i="1"/>
  <c r="J22" i="1"/>
  <c r="K22" i="1"/>
  <c r="G21" i="1"/>
  <c r="G107" i="1"/>
  <c r="H107" i="1"/>
  <c r="I107" i="1"/>
  <c r="J107" i="1"/>
  <c r="K107" i="1"/>
  <c r="G106" i="1"/>
  <c r="G10" i="1"/>
  <c r="H10" i="1"/>
  <c r="I10" i="1"/>
  <c r="J10" i="1"/>
  <c r="K10" i="1"/>
  <c r="H11" i="1"/>
  <c r="I11" i="1"/>
  <c r="K11" i="1"/>
  <c r="G12" i="1"/>
  <c r="H12" i="1"/>
  <c r="I12" i="1"/>
  <c r="J12" i="1"/>
  <c r="K12" i="1"/>
  <c r="G13" i="1"/>
  <c r="I13" i="1"/>
  <c r="J13" i="1"/>
  <c r="K13" i="1"/>
  <c r="G14" i="1"/>
  <c r="H14" i="1"/>
  <c r="I14" i="1"/>
  <c r="J14" i="1"/>
  <c r="K14" i="1"/>
  <c r="G15" i="1"/>
  <c r="H15" i="1"/>
  <c r="I15" i="1"/>
  <c r="J15" i="1"/>
  <c r="K15" i="1"/>
  <c r="G16" i="1"/>
  <c r="H16" i="1"/>
  <c r="I16" i="1"/>
  <c r="J16" i="1"/>
  <c r="K16" i="1"/>
  <c r="G17" i="1"/>
  <c r="H17" i="1"/>
  <c r="I17" i="1"/>
  <c r="J17" i="1"/>
  <c r="K17" i="1"/>
  <c r="G18" i="1"/>
  <c r="H18" i="1"/>
  <c r="I18" i="1"/>
  <c r="J18" i="1"/>
  <c r="K18" i="1"/>
  <c r="G19" i="1"/>
  <c r="H19" i="1"/>
  <c r="I19" i="1"/>
  <c r="J19" i="1"/>
  <c r="K19" i="1"/>
  <c r="G20" i="1"/>
  <c r="H20" i="1"/>
  <c r="I20" i="1"/>
  <c r="J20" i="1"/>
  <c r="K20" i="1"/>
  <c r="H21" i="1"/>
  <c r="I21" i="1"/>
  <c r="J21" i="1"/>
  <c r="K21" i="1"/>
  <c r="G23" i="1"/>
  <c r="H23" i="1"/>
  <c r="I23" i="1"/>
  <c r="J23" i="1"/>
  <c r="K23" i="1"/>
  <c r="G24" i="1"/>
  <c r="H24" i="1"/>
  <c r="I24" i="1"/>
  <c r="J24" i="1"/>
  <c r="K24" i="1"/>
  <c r="G25" i="1"/>
  <c r="H25" i="1"/>
  <c r="I25" i="1"/>
  <c r="J25" i="1"/>
  <c r="K25" i="1"/>
  <c r="G26" i="1"/>
  <c r="H26" i="1"/>
  <c r="I26" i="1"/>
  <c r="J26" i="1"/>
  <c r="K26" i="1"/>
  <c r="G27" i="1"/>
  <c r="H27" i="1"/>
  <c r="I27" i="1"/>
  <c r="J27" i="1"/>
  <c r="K27" i="1"/>
  <c r="G28" i="1"/>
  <c r="H28" i="1"/>
  <c r="I28" i="1"/>
  <c r="J28" i="1"/>
  <c r="K28" i="1"/>
  <c r="G29" i="1"/>
  <c r="H29" i="1"/>
  <c r="I29" i="1"/>
  <c r="J29" i="1"/>
  <c r="K29" i="1"/>
  <c r="G30" i="1"/>
  <c r="H30" i="1"/>
  <c r="I30" i="1"/>
  <c r="J30" i="1"/>
  <c r="K30" i="1"/>
  <c r="G31" i="1"/>
  <c r="I31" i="1"/>
  <c r="J31" i="1"/>
  <c r="K31" i="1"/>
  <c r="G32" i="1"/>
  <c r="H32" i="1"/>
  <c r="I32" i="1"/>
  <c r="J32" i="1"/>
  <c r="K32" i="1"/>
  <c r="G33" i="1"/>
  <c r="H33" i="1"/>
  <c r="I33" i="1"/>
  <c r="J33" i="1"/>
  <c r="K33" i="1"/>
  <c r="G34" i="1"/>
  <c r="H34" i="1"/>
  <c r="I34" i="1"/>
  <c r="J34" i="1"/>
  <c r="K34" i="1"/>
  <c r="G35" i="1"/>
  <c r="H35" i="1"/>
  <c r="I35" i="1"/>
  <c r="J35" i="1"/>
  <c r="K35" i="1"/>
  <c r="G36" i="1"/>
  <c r="H36" i="1"/>
  <c r="I36" i="1"/>
  <c r="J36" i="1"/>
  <c r="K36" i="1"/>
  <c r="G37" i="1"/>
  <c r="H37" i="1"/>
  <c r="I37" i="1"/>
  <c r="J37" i="1"/>
  <c r="K37" i="1"/>
  <c r="G38" i="1"/>
  <c r="H38" i="1"/>
  <c r="I38" i="1"/>
  <c r="J38" i="1"/>
  <c r="K38" i="1"/>
  <c r="G39" i="1"/>
  <c r="H39" i="1"/>
  <c r="I39" i="1"/>
  <c r="J39" i="1"/>
  <c r="K39" i="1"/>
  <c r="G40" i="1"/>
  <c r="H40" i="1"/>
  <c r="I40" i="1"/>
  <c r="J40" i="1"/>
  <c r="K40" i="1"/>
  <c r="G105" i="1"/>
  <c r="I105" i="1"/>
  <c r="J105" i="1"/>
  <c r="K105" i="1"/>
  <c r="H106" i="1"/>
  <c r="I106" i="1"/>
  <c r="J106" i="1"/>
  <c r="K106" i="1"/>
  <c r="G108" i="1"/>
  <c r="H108" i="1"/>
  <c r="I108" i="1"/>
  <c r="J108" i="1"/>
  <c r="K108" i="1"/>
  <c r="G109" i="1"/>
  <c r="H109" i="1"/>
  <c r="I109" i="1"/>
  <c r="J109" i="1"/>
  <c r="K109" i="1"/>
  <c r="G110" i="1"/>
  <c r="I110" i="1"/>
  <c r="J110" i="1"/>
  <c r="K110" i="1"/>
  <c r="G111" i="1"/>
  <c r="I111" i="1"/>
  <c r="J111" i="1"/>
  <c r="K111" i="1"/>
  <c r="G112" i="1"/>
  <c r="H112" i="1"/>
  <c r="I112" i="1"/>
  <c r="J112" i="1"/>
  <c r="K112" i="1"/>
  <c r="G113" i="1"/>
  <c r="H113" i="1"/>
  <c r="I113" i="1"/>
  <c r="J113" i="1"/>
  <c r="K113" i="1"/>
  <c r="G114" i="1"/>
  <c r="H114" i="1"/>
  <c r="I114" i="1"/>
  <c r="J114" i="1"/>
  <c r="K114" i="1"/>
  <c r="G115" i="1"/>
  <c r="H115" i="1"/>
  <c r="I115" i="1"/>
  <c r="J115" i="1"/>
  <c r="K115" i="1"/>
  <c r="G118" i="1"/>
  <c r="H118" i="1"/>
  <c r="I118" i="1"/>
  <c r="J118" i="1"/>
  <c r="K118" i="1"/>
  <c r="G119" i="1"/>
  <c r="H119" i="1"/>
  <c r="I119" i="1"/>
  <c r="J119" i="1"/>
  <c r="K119" i="1"/>
  <c r="G120" i="1"/>
  <c r="H120" i="1"/>
  <c r="I120" i="1"/>
  <c r="J120" i="1"/>
  <c r="K120" i="1"/>
  <c r="G121" i="1"/>
  <c r="H121" i="1"/>
  <c r="I121" i="1"/>
  <c r="J121" i="1"/>
  <c r="K121" i="1"/>
  <c r="G122" i="1"/>
  <c r="H122" i="1"/>
  <c r="I122" i="1"/>
  <c r="K122" i="1"/>
  <c r="G123" i="1"/>
  <c r="H123" i="1"/>
  <c r="I123" i="1"/>
  <c r="J123" i="1"/>
  <c r="K123" i="1"/>
  <c r="G124" i="1"/>
  <c r="H124" i="1"/>
  <c r="I124" i="1"/>
  <c r="J124" i="1"/>
  <c r="K124" i="1"/>
  <c r="G125" i="1"/>
  <c r="H125" i="1"/>
  <c r="I125" i="1"/>
  <c r="J125" i="1"/>
  <c r="K125" i="1"/>
  <c r="G126" i="1"/>
  <c r="H126" i="1"/>
  <c r="I126" i="1"/>
  <c r="J126" i="1"/>
  <c r="K126" i="1"/>
  <c r="G147" i="1"/>
  <c r="H147" i="1"/>
  <c r="I147" i="1"/>
  <c r="J147" i="1"/>
  <c r="K147" i="1"/>
  <c r="G148" i="1"/>
  <c r="H148" i="1"/>
  <c r="I148" i="1"/>
  <c r="J148" i="1"/>
  <c r="K148" i="1"/>
  <c r="G149" i="1"/>
  <c r="H149" i="1"/>
  <c r="I149" i="1"/>
  <c r="J149" i="1"/>
  <c r="K149" i="1"/>
  <c r="G150" i="1"/>
  <c r="H150" i="1"/>
  <c r="I150" i="1"/>
  <c r="J150" i="1"/>
  <c r="K150" i="1"/>
  <c r="G167" i="1"/>
  <c r="H167" i="1"/>
  <c r="I167" i="1"/>
  <c r="J167" i="1"/>
  <c r="K167" i="1"/>
  <c r="G168" i="1"/>
  <c r="H168" i="1"/>
  <c r="I168" i="1"/>
  <c r="J168" i="1"/>
  <c r="K168" i="1"/>
  <c r="H169" i="1"/>
  <c r="I169" i="1"/>
  <c r="J169" i="1"/>
  <c r="K169" i="1"/>
  <c r="G182" i="1"/>
  <c r="G183" i="1"/>
  <c r="H182" i="1"/>
  <c r="H183" i="1"/>
  <c r="E17" i="14" s="1"/>
  <c r="I182" i="1"/>
  <c r="I183" i="1" s="1"/>
  <c r="F17" i="14"/>
  <c r="J182" i="1"/>
  <c r="J183" i="1"/>
  <c r="K182" i="1"/>
  <c r="K183" i="1"/>
  <c r="H17" i="14" s="1"/>
  <c r="AP45" i="9"/>
  <c r="P145" i="1" s="1"/>
  <c r="AQ45" i="9"/>
  <c r="AR45" i="9"/>
  <c r="R145" i="1"/>
  <c r="AM39" i="11"/>
  <c r="AM40" i="11"/>
  <c r="D126" i="1"/>
  <c r="D79" i="1"/>
  <c r="D25" i="1"/>
  <c r="D26" i="1"/>
  <c r="D87" i="1"/>
  <c r="D88" i="1"/>
  <c r="D89" i="1"/>
  <c r="D86" i="1"/>
  <c r="AW44" i="9"/>
  <c r="H144" i="1"/>
  <c r="AX44" i="9"/>
  <c r="I144" i="1"/>
  <c r="AY44" i="9"/>
  <c r="J144" i="1"/>
  <c r="AZ44" i="9"/>
  <c r="K144" i="1"/>
  <c r="AZ42" i="9"/>
  <c r="K143" i="1"/>
  <c r="AX42" i="9"/>
  <c r="I143" i="1"/>
  <c r="AY42" i="9"/>
  <c r="J143" i="1"/>
  <c r="AX41" i="9"/>
  <c r="I142" i="1"/>
  <c r="AY41" i="9"/>
  <c r="J142" i="1"/>
  <c r="AX39" i="9"/>
  <c r="I141" i="1"/>
  <c r="AY39" i="9"/>
  <c r="J141" i="1"/>
  <c r="AX37" i="9"/>
  <c r="I140" i="1"/>
  <c r="AY37" i="9"/>
  <c r="J140" i="1"/>
  <c r="AX35" i="9"/>
  <c r="I139" i="1"/>
  <c r="AY35" i="9"/>
  <c r="J139" i="1"/>
  <c r="AZ33" i="9"/>
  <c r="K138" i="1"/>
  <c r="AX33" i="9"/>
  <c r="I138" i="1"/>
  <c r="AY33" i="9"/>
  <c r="J138" i="1"/>
  <c r="AX29" i="9"/>
  <c r="I137" i="1"/>
  <c r="AY29" i="9"/>
  <c r="J137" i="1"/>
  <c r="AX26" i="9"/>
  <c r="I136" i="1"/>
  <c r="AY26" i="9"/>
  <c r="J136" i="1"/>
  <c r="AX23" i="9"/>
  <c r="I135" i="1"/>
  <c r="AY23" i="9"/>
  <c r="J135" i="1"/>
  <c r="AX21" i="9"/>
  <c r="I134" i="1"/>
  <c r="AY21" i="9"/>
  <c r="J134" i="1"/>
  <c r="AX18" i="9"/>
  <c r="I133" i="1"/>
  <c r="AY18" i="9"/>
  <c r="J133" i="1"/>
  <c r="AZ18" i="9"/>
  <c r="K133" i="1"/>
  <c r="AX15" i="9"/>
  <c r="I132" i="1"/>
  <c r="AY15" i="9"/>
  <c r="J132" i="1"/>
  <c r="AX13" i="9"/>
  <c r="I131" i="1"/>
  <c r="AY13" i="9"/>
  <c r="J131" i="1"/>
  <c r="AZ13" i="9"/>
  <c r="K131" i="1"/>
  <c r="AX12" i="9"/>
  <c r="I130" i="1"/>
  <c r="AY12" i="9"/>
  <c r="J130" i="1"/>
  <c r="AZ12" i="9"/>
  <c r="K130" i="1"/>
  <c r="AX11" i="9"/>
  <c r="I129" i="1"/>
  <c r="AY11" i="9"/>
  <c r="J129" i="1"/>
  <c r="AZ11" i="9"/>
  <c r="K129" i="1"/>
  <c r="AX10" i="9"/>
  <c r="I128" i="1"/>
  <c r="AX8" i="9"/>
  <c r="I127" i="1"/>
  <c r="D182" i="1"/>
  <c r="B182" i="1"/>
  <c r="AJ9" i="7"/>
  <c r="AG9" i="7"/>
  <c r="AB9" i="7"/>
  <c r="Y9" i="7"/>
  <c r="V9" i="7"/>
  <c r="S9" i="7"/>
  <c r="J9" i="7"/>
  <c r="AJ11" i="7"/>
  <c r="AG11" i="7"/>
  <c r="AB11" i="7"/>
  <c r="Y11" i="7"/>
  <c r="V11" i="7"/>
  <c r="S11" i="7"/>
  <c r="J11" i="7"/>
  <c r="AJ12" i="7"/>
  <c r="AB12" i="7"/>
  <c r="S12" i="7"/>
  <c r="J12" i="7"/>
  <c r="D105" i="1"/>
  <c r="D106" i="1"/>
  <c r="D111" i="1"/>
  <c r="D110" i="1"/>
  <c r="AB22" i="7"/>
  <c r="AL22" i="7"/>
  <c r="D109" i="1"/>
  <c r="D91" i="1"/>
  <c r="D90" i="1"/>
  <c r="D150" i="1"/>
  <c r="D149" i="1"/>
  <c r="D148" i="1"/>
  <c r="D147" i="1"/>
  <c r="D144" i="1"/>
  <c r="D143" i="1"/>
  <c r="D142" i="1"/>
  <c r="D141" i="1"/>
  <c r="D140" i="1"/>
  <c r="D139" i="1"/>
  <c r="D138" i="1"/>
  <c r="D137" i="1"/>
  <c r="D136" i="1"/>
  <c r="D135" i="1"/>
  <c r="D134" i="1"/>
  <c r="D133" i="1"/>
  <c r="D132" i="1"/>
  <c r="D131" i="1"/>
  <c r="D130" i="1"/>
  <c r="D129" i="1"/>
  <c r="D128" i="1"/>
  <c r="D127" i="1"/>
  <c r="AV44" i="9"/>
  <c r="G144" i="1" s="1"/>
  <c r="AW42" i="9"/>
  <c r="H143" i="1" s="1"/>
  <c r="AV41" i="9"/>
  <c r="G142" i="1" s="1"/>
  <c r="AW41" i="9"/>
  <c r="H142" i="1" s="1"/>
  <c r="AZ41" i="9"/>
  <c r="K142" i="1" s="1"/>
  <c r="AV39" i="9"/>
  <c r="G141" i="1" s="1"/>
  <c r="AW39" i="9"/>
  <c r="H141" i="1" s="1"/>
  <c r="AZ39" i="9"/>
  <c r="K141" i="1" s="1"/>
  <c r="AV37" i="9"/>
  <c r="G140" i="1" s="1"/>
  <c r="AW37" i="9"/>
  <c r="H140" i="1" s="1"/>
  <c r="AZ37" i="9"/>
  <c r="K140" i="1" s="1"/>
  <c r="AV35" i="9"/>
  <c r="G139" i="1" s="1"/>
  <c r="AW35" i="9"/>
  <c r="H139" i="1" s="1"/>
  <c r="AZ35" i="9"/>
  <c r="K139" i="1" s="1"/>
  <c r="AW33" i="9"/>
  <c r="H138" i="1" s="1"/>
  <c r="AV29" i="9"/>
  <c r="G137" i="1" s="1"/>
  <c r="AW29" i="9"/>
  <c r="H137" i="1" s="1"/>
  <c r="AZ29" i="9"/>
  <c r="K137" i="1" s="1"/>
  <c r="AV26" i="9"/>
  <c r="G136" i="1" s="1"/>
  <c r="AW26" i="9"/>
  <c r="H136" i="1" s="1"/>
  <c r="AZ26" i="9"/>
  <c r="K136" i="1" s="1"/>
  <c r="AV23" i="9"/>
  <c r="G135" i="1" s="1"/>
  <c r="AZ23" i="9"/>
  <c r="K135" i="1" s="1"/>
  <c r="AW21" i="9"/>
  <c r="H134" i="1" s="1"/>
  <c r="AZ21" i="9"/>
  <c r="K134" i="1" s="1"/>
  <c r="AZ15" i="9"/>
  <c r="K132" i="1" s="1"/>
  <c r="AV13" i="9"/>
  <c r="G131" i="1" s="1"/>
  <c r="AW13" i="9"/>
  <c r="H131" i="1" s="1"/>
  <c r="AV12" i="9"/>
  <c r="G130" i="1" s="1"/>
  <c r="AW12" i="9"/>
  <c r="H130" i="1" s="1"/>
  <c r="AV11" i="9"/>
  <c r="G129" i="1" s="1"/>
  <c r="AZ10" i="9"/>
  <c r="K128" i="1" s="1"/>
  <c r="AV8" i="9"/>
  <c r="G127" i="1" s="1"/>
  <c r="AZ8" i="9"/>
  <c r="AO15" i="9"/>
  <c r="AW15" i="9"/>
  <c r="H132" i="1" s="1"/>
  <c r="D123" i="1"/>
  <c r="D124" i="1"/>
  <c r="D125" i="1"/>
  <c r="D122" i="1"/>
  <c r="D121" i="1"/>
  <c r="D120" i="1"/>
  <c r="C119" i="1"/>
  <c r="C118" i="1"/>
  <c r="D119" i="1"/>
  <c r="D118" i="1"/>
  <c r="D113" i="1"/>
  <c r="D115" i="1"/>
  <c r="D112" i="1"/>
  <c r="AE45" i="9"/>
  <c r="H37" i="14" s="1"/>
  <c r="AD45" i="9"/>
  <c r="G37" i="14" s="1"/>
  <c r="AK44" i="9"/>
  <c r="T44" i="9"/>
  <c r="AM44" i="9"/>
  <c r="AU44" i="9" s="1"/>
  <c r="F144" i="1" s="1"/>
  <c r="AK43" i="9"/>
  <c r="AH43" i="9"/>
  <c r="AC43" i="9"/>
  <c r="Z43" i="9"/>
  <c r="W43" i="9"/>
  <c r="T43" i="9"/>
  <c r="AM43" i="9" s="1"/>
  <c r="AS43" i="9" s="1"/>
  <c r="K43" i="9"/>
  <c r="AN42" i="9"/>
  <c r="AV42" i="9" s="1"/>
  <c r="G143" i="1" s="1"/>
  <c r="AK42" i="9"/>
  <c r="AH42" i="9"/>
  <c r="AC42" i="9"/>
  <c r="Z42" i="9"/>
  <c r="W42" i="9"/>
  <c r="T42" i="9"/>
  <c r="K42" i="9"/>
  <c r="AK41" i="9"/>
  <c r="AH41" i="9"/>
  <c r="AC41" i="9"/>
  <c r="Z41" i="9"/>
  <c r="W41" i="9"/>
  <c r="T41" i="9"/>
  <c r="K41" i="9"/>
  <c r="AM41" i="9" s="1"/>
  <c r="AS41" i="9" s="1"/>
  <c r="AK40" i="9"/>
  <c r="AH40" i="9"/>
  <c r="AC40" i="9"/>
  <c r="Z40" i="9"/>
  <c r="W40" i="9"/>
  <c r="T40" i="9"/>
  <c r="K40" i="9"/>
  <c r="AM40" i="9" s="1"/>
  <c r="AS40" i="9" s="1"/>
  <c r="AK39" i="9"/>
  <c r="AH39" i="9"/>
  <c r="AC39" i="9"/>
  <c r="Z39" i="9"/>
  <c r="W39" i="9"/>
  <c r="T39" i="9"/>
  <c r="K39" i="9"/>
  <c r="AM39" i="9" s="1"/>
  <c r="AU39" i="9" s="1"/>
  <c r="F141" i="1" s="1"/>
  <c r="AK38" i="9"/>
  <c r="AH38" i="9"/>
  <c r="AC38" i="9"/>
  <c r="Z38" i="9"/>
  <c r="W38" i="9"/>
  <c r="T38" i="9"/>
  <c r="K38" i="9"/>
  <c r="AK37" i="9"/>
  <c r="AH37" i="9"/>
  <c r="AC37" i="9"/>
  <c r="Z37" i="9"/>
  <c r="W37" i="9"/>
  <c r="T37" i="9"/>
  <c r="K37" i="9"/>
  <c r="T36" i="9"/>
  <c r="AM36" i="9" s="1"/>
  <c r="AS36" i="9" s="1"/>
  <c r="Z35" i="9"/>
  <c r="W35" i="9"/>
  <c r="T35" i="9"/>
  <c r="AL34" i="9"/>
  <c r="AK34" i="9"/>
  <c r="AH34" i="9"/>
  <c r="AC34" i="9"/>
  <c r="Z34" i="9"/>
  <c r="W34" i="9"/>
  <c r="T34" i="9"/>
  <c r="K34" i="9"/>
  <c r="AK33" i="9"/>
  <c r="AH33" i="9"/>
  <c r="AC33" i="9"/>
  <c r="Z33" i="9"/>
  <c r="W33" i="9"/>
  <c r="T33" i="9"/>
  <c r="K33" i="9"/>
  <c r="T32" i="9"/>
  <c r="AM32" i="9"/>
  <c r="AS32" i="9" s="1"/>
  <c r="AK31" i="9"/>
  <c r="AH31" i="9"/>
  <c r="AC31" i="9"/>
  <c r="Z31" i="9"/>
  <c r="W31" i="9"/>
  <c r="T31" i="9"/>
  <c r="K31" i="9"/>
  <c r="T30" i="9"/>
  <c r="AM30" i="9"/>
  <c r="AK29" i="9"/>
  <c r="AH29" i="9"/>
  <c r="AC29" i="9"/>
  <c r="Z29" i="9"/>
  <c r="W29" i="9"/>
  <c r="T29" i="9"/>
  <c r="K29" i="9"/>
  <c r="AK28" i="9"/>
  <c r="AH28" i="9"/>
  <c r="AC28" i="9"/>
  <c r="Z28" i="9"/>
  <c r="W28" i="9"/>
  <c r="T28" i="9"/>
  <c r="K28" i="9"/>
  <c r="T27" i="9"/>
  <c r="K27" i="9"/>
  <c r="AM27" i="9" s="1"/>
  <c r="AS27" i="9" s="1"/>
  <c r="AK26" i="9"/>
  <c r="AH26" i="9"/>
  <c r="AC26" i="9"/>
  <c r="Z26" i="9"/>
  <c r="W26" i="9"/>
  <c r="T26" i="9"/>
  <c r="K26" i="9"/>
  <c r="AK25" i="9"/>
  <c r="AH25" i="9"/>
  <c r="AC25" i="9"/>
  <c r="Z25" i="9"/>
  <c r="W25" i="9"/>
  <c r="T25" i="9"/>
  <c r="K25" i="9"/>
  <c r="AM25" i="9" s="1"/>
  <c r="AS25" i="9" s="1"/>
  <c r="AK24" i="9"/>
  <c r="AH24" i="9"/>
  <c r="AC24" i="9"/>
  <c r="Z24" i="9"/>
  <c r="W24" i="9"/>
  <c r="T24" i="9"/>
  <c r="K24" i="9"/>
  <c r="AK23" i="9"/>
  <c r="AH23" i="9"/>
  <c r="AC23" i="9"/>
  <c r="Z23" i="9"/>
  <c r="W23" i="9"/>
  <c r="T23" i="9"/>
  <c r="K23" i="9"/>
  <c r="AL22" i="9"/>
  <c r="AL45" i="9"/>
  <c r="AK22" i="9"/>
  <c r="AH22" i="9"/>
  <c r="AC22" i="9"/>
  <c r="Z22" i="9"/>
  <c r="W22" i="9"/>
  <c r="T22" i="9"/>
  <c r="K22" i="9"/>
  <c r="AK21" i="9"/>
  <c r="AH21" i="9"/>
  <c r="AC21" i="9"/>
  <c r="Z21" i="9"/>
  <c r="W21" i="9"/>
  <c r="T21" i="9"/>
  <c r="K21" i="9"/>
  <c r="AM21" i="9" s="1"/>
  <c r="AK20" i="9"/>
  <c r="AH20" i="9"/>
  <c r="AC20" i="9"/>
  <c r="Z20" i="9"/>
  <c r="W20" i="9"/>
  <c r="T20" i="9"/>
  <c r="K20" i="9"/>
  <c r="AM20" i="9" s="1"/>
  <c r="AN20" i="9" s="1"/>
  <c r="AK19" i="9"/>
  <c r="AH19" i="9"/>
  <c r="AC19" i="9"/>
  <c r="Z19" i="9"/>
  <c r="W19" i="9"/>
  <c r="T19" i="9"/>
  <c r="K19" i="9"/>
  <c r="AO18" i="9"/>
  <c r="AW18" i="9" s="1"/>
  <c r="H133" i="1" s="1"/>
  <c r="AK18" i="9"/>
  <c r="AH18" i="9"/>
  <c r="AC18" i="9"/>
  <c r="Z18" i="9"/>
  <c r="W18" i="9"/>
  <c r="T18" i="9"/>
  <c r="K18" i="9"/>
  <c r="AK17" i="9"/>
  <c r="AH17" i="9"/>
  <c r="AC17" i="9"/>
  <c r="Z17" i="9"/>
  <c r="W17" i="9"/>
  <c r="T17" i="9"/>
  <c r="K17" i="9"/>
  <c r="T16" i="9"/>
  <c r="K16" i="9"/>
  <c r="AM16" i="9" s="1"/>
  <c r="AN16" i="9" s="1"/>
  <c r="AK15" i="9"/>
  <c r="AH15" i="9"/>
  <c r="AC15" i="9"/>
  <c r="W15" i="9"/>
  <c r="T15" i="9"/>
  <c r="K15" i="9"/>
  <c r="AM15" i="9" s="1"/>
  <c r="AN15" i="9" s="1"/>
  <c r="AK14" i="9"/>
  <c r="AH14" i="9"/>
  <c r="AC14" i="9"/>
  <c r="Z14" i="9"/>
  <c r="W14" i="9"/>
  <c r="T14" i="9"/>
  <c r="K14" i="9"/>
  <c r="AM14" i="9"/>
  <c r="AS14" i="9" s="1"/>
  <c r="AK13" i="9"/>
  <c r="AH13" i="9"/>
  <c r="AC13" i="9"/>
  <c r="Z13" i="9"/>
  <c r="W13" i="9"/>
  <c r="T13" i="9"/>
  <c r="K13" i="9"/>
  <c r="AM13" i="9" s="1"/>
  <c r="AK12" i="9"/>
  <c r="AH12" i="9"/>
  <c r="AC12" i="9"/>
  <c r="Z12" i="9"/>
  <c r="W12" i="9"/>
  <c r="T12" i="9"/>
  <c r="K12" i="9"/>
  <c r="AK11" i="9"/>
  <c r="AH11" i="9"/>
  <c r="AC11" i="9"/>
  <c r="Z11" i="9"/>
  <c r="W11" i="9"/>
  <c r="T11" i="9"/>
  <c r="K11" i="9"/>
  <c r="AK10" i="9"/>
  <c r="AH10" i="9"/>
  <c r="AC10" i="9"/>
  <c r="Z10" i="9"/>
  <c r="W10" i="9"/>
  <c r="T10" i="9"/>
  <c r="K10" i="9"/>
  <c r="AM10" i="9"/>
  <c r="AK9" i="9"/>
  <c r="AH9" i="9"/>
  <c r="AC9" i="9"/>
  <c r="Z9" i="9"/>
  <c r="W9" i="9"/>
  <c r="T9" i="9"/>
  <c r="K9" i="9"/>
  <c r="AK8" i="9"/>
  <c r="AH8" i="9"/>
  <c r="AC8" i="9"/>
  <c r="W8" i="9"/>
  <c r="T8" i="9"/>
  <c r="T45" i="9" s="1"/>
  <c r="D37" i="14" s="1"/>
  <c r="K8" i="9"/>
  <c r="T7" i="9"/>
  <c r="D108" i="1"/>
  <c r="D107" i="1"/>
  <c r="AJ13" i="7"/>
  <c r="AJ14" i="7"/>
  <c r="AJ18" i="7"/>
  <c r="AJ19" i="7"/>
  <c r="AJ20" i="7"/>
  <c r="AJ21" i="7"/>
  <c r="AJ23" i="7"/>
  <c r="AJ24" i="7"/>
  <c r="AJ25" i="7"/>
  <c r="AJ26" i="7"/>
  <c r="AJ27" i="7"/>
  <c r="AJ28" i="7"/>
  <c r="AJ29" i="7"/>
  <c r="AJ30" i="7"/>
  <c r="AJ31" i="7"/>
  <c r="AJ32" i="7"/>
  <c r="AJ33" i="7"/>
  <c r="AJ34" i="7"/>
  <c r="AJ35" i="7"/>
  <c r="AJ39" i="7"/>
  <c r="AJ40" i="7"/>
  <c r="AJ41" i="7"/>
  <c r="AJ42" i="7"/>
  <c r="AG13" i="7"/>
  <c r="AG15" i="7" s="1"/>
  <c r="AG14" i="7"/>
  <c r="AG18" i="7"/>
  <c r="AG19" i="7"/>
  <c r="AG20" i="7"/>
  <c r="AG21" i="7"/>
  <c r="AG23" i="7"/>
  <c r="AG24" i="7"/>
  <c r="AG25" i="7"/>
  <c r="AG26" i="7"/>
  <c r="AG27" i="7"/>
  <c r="AG28" i="7"/>
  <c r="AG29" i="7"/>
  <c r="AG30" i="7"/>
  <c r="AG31" i="7"/>
  <c r="AG32" i="7"/>
  <c r="AG33" i="7"/>
  <c r="AG34" i="7"/>
  <c r="AG35" i="7"/>
  <c r="AG39" i="7"/>
  <c r="AG40" i="7"/>
  <c r="AG43" i="7" s="1"/>
  <c r="AG41" i="7"/>
  <c r="AG42" i="7"/>
  <c r="AB13" i="7"/>
  <c r="AB14" i="7"/>
  <c r="AB18" i="7"/>
  <c r="AB19" i="7"/>
  <c r="AB20" i="7"/>
  <c r="AB21" i="7"/>
  <c r="AB23" i="7"/>
  <c r="AB24" i="7"/>
  <c r="AB25" i="7"/>
  <c r="AB26" i="7"/>
  <c r="AB27" i="7"/>
  <c r="AB28" i="7"/>
  <c r="AB29" i="7"/>
  <c r="AB30" i="7"/>
  <c r="AB31" i="7"/>
  <c r="AB33" i="7"/>
  <c r="AB34" i="7"/>
  <c r="AB35" i="7"/>
  <c r="AB39" i="7"/>
  <c r="AB40" i="7"/>
  <c r="AB41" i="7"/>
  <c r="AB42" i="7"/>
  <c r="Y13" i="7"/>
  <c r="Y14" i="7"/>
  <c r="Y18" i="7"/>
  <c r="Y19" i="7"/>
  <c r="Y20" i="7"/>
  <c r="Y21" i="7"/>
  <c r="Y24" i="7"/>
  <c r="Y26" i="7"/>
  <c r="Y28" i="7"/>
  <c r="Y29" i="7"/>
  <c r="Y30" i="7"/>
  <c r="Y31" i="7"/>
  <c r="Y32" i="7"/>
  <c r="Y33" i="7"/>
  <c r="Y34" i="7"/>
  <c r="Y35" i="7"/>
  <c r="Y39" i="7"/>
  <c r="Y40" i="7"/>
  <c r="Y41" i="7"/>
  <c r="Y42" i="7"/>
  <c r="V13" i="7"/>
  <c r="V14" i="7"/>
  <c r="V18" i="7"/>
  <c r="V19" i="7"/>
  <c r="V20" i="7"/>
  <c r="V21" i="7"/>
  <c r="V23" i="7"/>
  <c r="V24" i="7"/>
  <c r="V26" i="7"/>
  <c r="V27" i="7"/>
  <c r="V28" i="7"/>
  <c r="V29" i="7"/>
  <c r="V30" i="7"/>
  <c r="V31" i="7"/>
  <c r="V32" i="7"/>
  <c r="V34" i="7"/>
  <c r="V35" i="7"/>
  <c r="V39" i="7"/>
  <c r="V40" i="7"/>
  <c r="V41" i="7"/>
  <c r="V42" i="7"/>
  <c r="V43" i="7" s="1"/>
  <c r="S13" i="7"/>
  <c r="S14" i="7"/>
  <c r="J39" i="7"/>
  <c r="J40" i="7"/>
  <c r="AL40" i="7" s="1"/>
  <c r="AR40" i="7" s="1"/>
  <c r="L148" i="1" s="1"/>
  <c r="J41" i="7"/>
  <c r="J42" i="7"/>
  <c r="AL42" i="7"/>
  <c r="AR42" i="7" s="1"/>
  <c r="L150" i="1" s="1"/>
  <c r="J13" i="7"/>
  <c r="J14" i="7"/>
  <c r="AL14" i="7" s="1"/>
  <c r="AR14" i="7" s="1"/>
  <c r="L91" i="1" s="1"/>
  <c r="S18" i="7"/>
  <c r="S19" i="7"/>
  <c r="S20" i="7"/>
  <c r="S21" i="7"/>
  <c r="S23" i="7"/>
  <c r="S28" i="7"/>
  <c r="S29" i="7"/>
  <c r="S25" i="7"/>
  <c r="S26" i="7"/>
  <c r="S27" i="7"/>
  <c r="S30" i="7"/>
  <c r="S31" i="7"/>
  <c r="S32" i="7"/>
  <c r="S33" i="7"/>
  <c r="S34" i="7"/>
  <c r="S35" i="7"/>
  <c r="S39" i="7"/>
  <c r="S40" i="7"/>
  <c r="S41" i="7"/>
  <c r="J18" i="7"/>
  <c r="J19" i="7"/>
  <c r="J20" i="7"/>
  <c r="AL20" i="7" s="1"/>
  <c r="J21" i="7"/>
  <c r="J23" i="7"/>
  <c r="J28" i="7"/>
  <c r="J29" i="7"/>
  <c r="AL29" i="7"/>
  <c r="AR29" i="7" s="1"/>
  <c r="L119" i="1" s="1"/>
  <c r="J24" i="7"/>
  <c r="J25" i="7"/>
  <c r="J26" i="7"/>
  <c r="AL26" i="7"/>
  <c r="F114" i="1" s="1"/>
  <c r="J27" i="7"/>
  <c r="J30" i="7"/>
  <c r="J31" i="7"/>
  <c r="J32" i="7"/>
  <c r="J33" i="7"/>
  <c r="J34" i="7"/>
  <c r="AL34" i="7"/>
  <c r="AR34" i="7" s="1"/>
  <c r="L124" i="1" s="1"/>
  <c r="J35" i="7"/>
  <c r="L181" i="1"/>
  <c r="D171" i="1"/>
  <c r="D169" i="1"/>
  <c r="D170" i="1"/>
  <c r="D168" i="1"/>
  <c r="D167" i="1"/>
  <c r="D164" i="1"/>
  <c r="D163" i="1"/>
  <c r="D161" i="1"/>
  <c r="D162" i="1"/>
  <c r="D160" i="1"/>
  <c r="D159" i="1"/>
  <c r="D158" i="1"/>
  <c r="D157" i="1"/>
  <c r="D156" i="1"/>
  <c r="D155" i="1"/>
  <c r="D154" i="1"/>
  <c r="D153" i="1"/>
  <c r="D99" i="1"/>
  <c r="D100" i="1"/>
  <c r="D81" i="1"/>
  <c r="D82" i="1"/>
  <c r="D83" i="1"/>
  <c r="D80" i="1"/>
  <c r="D76" i="1"/>
  <c r="D77" i="1"/>
  <c r="D78" i="1"/>
  <c r="D75" i="1"/>
  <c r="D72" i="1"/>
  <c r="D73" i="1"/>
  <c r="D74" i="1"/>
  <c r="D71" i="1"/>
  <c r="D66" i="1"/>
  <c r="D67" i="1"/>
  <c r="D68" i="1"/>
  <c r="D69" i="1"/>
  <c r="D70" i="1"/>
  <c r="D65" i="1"/>
  <c r="D62" i="1"/>
  <c r="D61" i="1"/>
  <c r="D59" i="1"/>
  <c r="D60" i="1"/>
  <c r="D58" i="1"/>
  <c r="D56" i="1"/>
  <c r="D57" i="1"/>
  <c r="D55" i="1"/>
  <c r="D52" i="1"/>
  <c r="D53" i="1"/>
  <c r="D54" i="1"/>
  <c r="D51" i="1"/>
  <c r="D48" i="1"/>
  <c r="D46" i="1"/>
  <c r="D44" i="1"/>
  <c r="D38" i="1"/>
  <c r="D39" i="1"/>
  <c r="D40" i="1"/>
  <c r="D37" i="1"/>
  <c r="D36" i="1"/>
  <c r="D35" i="1"/>
  <c r="D33" i="1"/>
  <c r="D31" i="1"/>
  <c r="D30" i="1"/>
  <c r="AI12" i="10"/>
  <c r="AI13" i="10"/>
  <c r="AI14" i="10"/>
  <c r="AI15" i="10"/>
  <c r="AI16" i="10"/>
  <c r="AI17" i="10"/>
  <c r="AI18" i="10"/>
  <c r="AI19" i="10"/>
  <c r="AI23" i="10"/>
  <c r="AI24" i="10"/>
  <c r="AI25" i="10"/>
  <c r="AI26" i="10"/>
  <c r="AI20" i="10"/>
  <c r="AI21" i="10"/>
  <c r="AI22" i="10"/>
  <c r="AI27" i="10"/>
  <c r="AI28" i="10"/>
  <c r="AI29" i="10"/>
  <c r="AI30" i="10"/>
  <c r="AI31" i="10"/>
  <c r="AI32" i="10"/>
  <c r="AI33" i="10"/>
  <c r="AI34" i="10"/>
  <c r="AI35" i="10"/>
  <c r="AI36" i="10"/>
  <c r="AI37" i="10"/>
  <c r="AI38" i="10"/>
  <c r="AI39" i="10"/>
  <c r="AI40" i="10"/>
  <c r="AI41" i="10"/>
  <c r="AI44" i="10"/>
  <c r="AI45" i="10"/>
  <c r="AI46" i="10"/>
  <c r="AI47" i="10"/>
  <c r="AI48" i="10"/>
  <c r="AI49" i="10"/>
  <c r="AI50" i="10"/>
  <c r="AI51" i="10"/>
  <c r="AI52" i="10"/>
  <c r="AI53" i="10"/>
  <c r="AI54" i="10"/>
  <c r="AI55" i="10"/>
  <c r="AI56" i="10"/>
  <c r="AI57" i="10"/>
  <c r="AI58" i="10"/>
  <c r="AI59" i="10"/>
  <c r="AI60" i="10"/>
  <c r="AI61" i="10"/>
  <c r="AI62" i="10"/>
  <c r="AI63" i="10"/>
  <c r="AI66" i="10"/>
  <c r="AI67" i="10"/>
  <c r="AI68" i="10"/>
  <c r="AI69" i="10"/>
  <c r="AI70" i="10"/>
  <c r="AI71" i="10"/>
  <c r="AI72" i="10"/>
  <c r="AI73" i="10"/>
  <c r="AI74" i="10"/>
  <c r="AI75" i="10"/>
  <c r="AI76" i="10"/>
  <c r="AI77" i="10"/>
  <c r="AI78" i="10"/>
  <c r="AI79" i="10"/>
  <c r="AI80" i="10"/>
  <c r="AI81" i="10"/>
  <c r="AI82" i="10"/>
  <c r="AI83" i="10"/>
  <c r="AI84" i="10"/>
  <c r="AI85" i="10"/>
  <c r="AI86" i="10"/>
  <c r="AD11" i="10"/>
  <c r="AD12" i="10"/>
  <c r="AD13" i="10"/>
  <c r="AD14" i="10"/>
  <c r="AD15" i="10"/>
  <c r="AD16" i="10"/>
  <c r="AD17" i="10"/>
  <c r="AD18" i="10"/>
  <c r="AD23" i="10"/>
  <c r="AD24" i="10"/>
  <c r="AD25" i="10"/>
  <c r="AD26" i="10"/>
  <c r="AD20" i="10"/>
  <c r="AD21" i="10"/>
  <c r="AD22" i="10"/>
  <c r="AD27" i="10"/>
  <c r="AD28" i="10"/>
  <c r="AD29" i="10"/>
  <c r="AD30" i="10"/>
  <c r="AD31" i="10"/>
  <c r="AD32" i="10"/>
  <c r="AD33" i="10"/>
  <c r="AD34" i="10"/>
  <c r="AD35" i="10"/>
  <c r="AD36" i="10"/>
  <c r="AD37" i="10"/>
  <c r="AD38" i="10"/>
  <c r="AD39" i="10"/>
  <c r="AD40" i="10"/>
  <c r="AD41" i="10"/>
  <c r="AD44" i="10"/>
  <c r="AD45" i="10"/>
  <c r="AD46" i="10"/>
  <c r="AD47" i="10"/>
  <c r="AD48" i="10"/>
  <c r="AD49" i="10"/>
  <c r="AD50" i="10"/>
  <c r="AD51" i="10"/>
  <c r="AD52" i="10"/>
  <c r="AD53" i="10"/>
  <c r="AD54" i="10"/>
  <c r="AD55" i="10"/>
  <c r="AD56" i="10"/>
  <c r="AD57" i="10"/>
  <c r="AD58" i="10"/>
  <c r="AD59" i="10"/>
  <c r="AD60" i="10"/>
  <c r="AD61" i="10"/>
  <c r="AD62" i="10"/>
  <c r="AD63" i="10"/>
  <c r="AD66" i="10"/>
  <c r="AD67" i="10"/>
  <c r="AD68" i="10"/>
  <c r="AD69" i="10"/>
  <c r="AD70" i="10"/>
  <c r="AD71" i="10"/>
  <c r="AD73" i="10"/>
  <c r="AD74" i="10"/>
  <c r="AD75" i="10"/>
  <c r="AD76" i="10"/>
  <c r="AD77" i="10"/>
  <c r="AD78" i="10"/>
  <c r="AD79" i="10"/>
  <c r="AD80" i="10"/>
  <c r="AD81" i="10"/>
  <c r="AD82" i="10"/>
  <c r="AD83" i="10"/>
  <c r="AD84" i="10"/>
  <c r="AD85" i="10"/>
  <c r="AD86" i="10"/>
  <c r="AA11" i="10"/>
  <c r="AA15" i="10"/>
  <c r="AA16" i="10"/>
  <c r="AA18" i="10"/>
  <c r="AA19" i="10"/>
  <c r="AA23" i="10"/>
  <c r="AA24" i="10"/>
  <c r="AA25" i="10"/>
  <c r="AA26" i="10"/>
  <c r="AA20" i="10"/>
  <c r="AA21" i="10"/>
  <c r="AA27" i="10"/>
  <c r="AA28" i="10"/>
  <c r="AA29" i="10"/>
  <c r="AA30" i="10"/>
  <c r="AA31" i="10"/>
  <c r="AA32" i="10"/>
  <c r="AA33" i="10"/>
  <c r="AA34" i="10"/>
  <c r="AA35" i="10"/>
  <c r="AA36" i="10"/>
  <c r="AA37" i="10"/>
  <c r="AA38" i="10"/>
  <c r="AA39" i="10"/>
  <c r="AA40" i="10"/>
  <c r="AA44" i="10"/>
  <c r="AA45" i="10"/>
  <c r="AA46" i="10"/>
  <c r="AA47" i="10"/>
  <c r="AA48" i="10"/>
  <c r="AA49" i="10"/>
  <c r="AA50" i="10"/>
  <c r="AA51" i="10"/>
  <c r="AA52" i="10"/>
  <c r="AA53" i="10"/>
  <c r="AA54" i="10"/>
  <c r="AA55" i="10"/>
  <c r="AA56" i="10"/>
  <c r="AA57" i="10"/>
  <c r="AA58" i="10"/>
  <c r="AA59" i="10"/>
  <c r="AA60" i="10"/>
  <c r="AA61" i="10"/>
  <c r="AA62" i="10"/>
  <c r="AA63" i="10"/>
  <c r="AA67" i="10"/>
  <c r="AA68" i="10"/>
  <c r="AA69" i="10"/>
  <c r="AA70" i="10"/>
  <c r="AA71" i="10"/>
  <c r="AA72" i="10"/>
  <c r="AA73" i="10"/>
  <c r="AA74" i="10"/>
  <c r="AA75" i="10"/>
  <c r="AA76" i="10"/>
  <c r="AA77" i="10"/>
  <c r="AA78" i="10"/>
  <c r="AA79" i="10"/>
  <c r="AA80" i="10"/>
  <c r="AA81" i="10"/>
  <c r="AA82" i="10"/>
  <c r="AA83" i="10"/>
  <c r="AA84" i="10"/>
  <c r="AA85" i="10"/>
  <c r="AA86" i="10"/>
  <c r="X11" i="10"/>
  <c r="X13" i="10"/>
  <c r="X15" i="10"/>
  <c r="X16" i="10"/>
  <c r="X19" i="10"/>
  <c r="X23" i="10"/>
  <c r="X24" i="10"/>
  <c r="X25" i="10"/>
  <c r="X26" i="10"/>
  <c r="X21" i="10"/>
  <c r="X27" i="10"/>
  <c r="X28" i="10"/>
  <c r="X29" i="10"/>
  <c r="X30" i="10"/>
  <c r="X31" i="10"/>
  <c r="X32" i="10"/>
  <c r="X33" i="10"/>
  <c r="X34" i="10"/>
  <c r="X35" i="10"/>
  <c r="X36" i="10"/>
  <c r="X37" i="10"/>
  <c r="X38" i="10"/>
  <c r="X39" i="10"/>
  <c r="X40" i="10"/>
  <c r="X41" i="10"/>
  <c r="X44" i="10"/>
  <c r="X45" i="10"/>
  <c r="X46" i="10"/>
  <c r="X47" i="10"/>
  <c r="X48" i="10"/>
  <c r="X49" i="10"/>
  <c r="X50" i="10"/>
  <c r="X51" i="10"/>
  <c r="X52" i="10"/>
  <c r="X53" i="10"/>
  <c r="X54" i="10"/>
  <c r="X55" i="10"/>
  <c r="X56" i="10"/>
  <c r="X57" i="10"/>
  <c r="X58" i="10"/>
  <c r="X59" i="10"/>
  <c r="X60" i="10"/>
  <c r="X61" i="10"/>
  <c r="X62" i="10"/>
  <c r="X66" i="10"/>
  <c r="X67" i="10"/>
  <c r="X68" i="10"/>
  <c r="X69" i="10"/>
  <c r="X70" i="10"/>
  <c r="X71" i="10"/>
  <c r="X72" i="10"/>
  <c r="X73" i="10"/>
  <c r="X74" i="10"/>
  <c r="X75" i="10"/>
  <c r="X76" i="10"/>
  <c r="X77" i="10"/>
  <c r="X78" i="10"/>
  <c r="X79" i="10"/>
  <c r="X80" i="10"/>
  <c r="X83" i="10"/>
  <c r="X84" i="10"/>
  <c r="X85" i="10"/>
  <c r="X86" i="10"/>
  <c r="U11" i="10"/>
  <c r="U12" i="10"/>
  <c r="U13" i="10"/>
  <c r="U14" i="10"/>
  <c r="U15" i="10"/>
  <c r="U16" i="10"/>
  <c r="U17" i="10"/>
  <c r="U18" i="10"/>
  <c r="U19" i="10"/>
  <c r="U23" i="10"/>
  <c r="U24" i="10"/>
  <c r="U21" i="10"/>
  <c r="U22" i="10"/>
  <c r="U27" i="10"/>
  <c r="U28" i="10"/>
  <c r="U29" i="10"/>
  <c r="U30" i="10"/>
  <c r="U33" i="10"/>
  <c r="U34" i="10"/>
  <c r="U35" i="10"/>
  <c r="U36" i="10"/>
  <c r="U37" i="10"/>
  <c r="U38" i="10"/>
  <c r="U39" i="10"/>
  <c r="U40" i="10"/>
  <c r="U41" i="10"/>
  <c r="U44" i="10"/>
  <c r="U45" i="10"/>
  <c r="U46" i="10"/>
  <c r="U47" i="10"/>
  <c r="U48" i="10"/>
  <c r="U49" i="10"/>
  <c r="U50" i="10"/>
  <c r="U51" i="10"/>
  <c r="U52" i="10"/>
  <c r="U53" i="10"/>
  <c r="U54" i="10"/>
  <c r="U55" i="10"/>
  <c r="U56" i="10"/>
  <c r="U57" i="10"/>
  <c r="U58" i="10"/>
  <c r="U59" i="10"/>
  <c r="U60" i="10"/>
  <c r="U61" i="10"/>
  <c r="U62" i="10"/>
  <c r="U63" i="10"/>
  <c r="U66" i="10"/>
  <c r="U67" i="10"/>
  <c r="U68" i="10"/>
  <c r="U69" i="10"/>
  <c r="U70" i="10"/>
  <c r="U71" i="10"/>
  <c r="U72" i="10"/>
  <c r="U73" i="10"/>
  <c r="U74" i="10"/>
  <c r="U75" i="10"/>
  <c r="U76" i="10"/>
  <c r="U77" i="10"/>
  <c r="U79" i="10"/>
  <c r="U80" i="10"/>
  <c r="U81" i="10"/>
  <c r="U82" i="10"/>
  <c r="U83" i="10"/>
  <c r="U84" i="10"/>
  <c r="U85" i="10"/>
  <c r="U86" i="10"/>
  <c r="L11" i="10"/>
  <c r="L12" i="10"/>
  <c r="L13" i="10"/>
  <c r="AN13" i="10"/>
  <c r="L14" i="10"/>
  <c r="L15" i="10"/>
  <c r="AN15" i="10" s="1"/>
  <c r="L16" i="10"/>
  <c r="AN16" i="10" s="1"/>
  <c r="L17" i="10"/>
  <c r="L18" i="10"/>
  <c r="L19" i="10"/>
  <c r="L23" i="10"/>
  <c r="L24" i="10"/>
  <c r="L25" i="10"/>
  <c r="L26" i="10"/>
  <c r="L20" i="10"/>
  <c r="L21" i="10"/>
  <c r="L22" i="10"/>
  <c r="L28" i="10"/>
  <c r="L29" i="10"/>
  <c r="L30" i="10"/>
  <c r="L31" i="10"/>
  <c r="L32" i="10"/>
  <c r="L33" i="10"/>
  <c r="L34" i="10"/>
  <c r="L35" i="10"/>
  <c r="L36" i="10"/>
  <c r="L37" i="10"/>
  <c r="L38" i="10"/>
  <c r="L39" i="10"/>
  <c r="AN39" i="10"/>
  <c r="L40" i="10"/>
  <c r="L41" i="10"/>
  <c r="L44" i="10"/>
  <c r="L45" i="10"/>
  <c r="L46" i="10"/>
  <c r="L47" i="10"/>
  <c r="L48" i="10"/>
  <c r="AN48" i="10" s="1"/>
  <c r="L49" i="10"/>
  <c r="L50" i="10"/>
  <c r="L51" i="10"/>
  <c r="L52" i="10"/>
  <c r="L53" i="10"/>
  <c r="L54" i="10"/>
  <c r="AN54" i="10" s="1"/>
  <c r="L55" i="10"/>
  <c r="L56" i="10"/>
  <c r="L57" i="10"/>
  <c r="AN57" i="10" s="1"/>
  <c r="AT57" i="10" s="1"/>
  <c r="L56" i="1" s="1"/>
  <c r="L58" i="10"/>
  <c r="L59" i="10"/>
  <c r="L60" i="10"/>
  <c r="AN60" i="10"/>
  <c r="F59" i="1" s="1"/>
  <c r="L61" i="10"/>
  <c r="L62" i="10"/>
  <c r="L63" i="10"/>
  <c r="L66" i="10"/>
  <c r="L67" i="10"/>
  <c r="L68" i="10"/>
  <c r="AN68" i="10" s="1"/>
  <c r="L69" i="10"/>
  <c r="AN69" i="10" s="1"/>
  <c r="L70" i="10"/>
  <c r="L71" i="10"/>
  <c r="AN71" i="10"/>
  <c r="F70" i="1" s="1"/>
  <c r="L72" i="10"/>
  <c r="L73" i="10"/>
  <c r="L74" i="10"/>
  <c r="AN74" i="10" s="1"/>
  <c r="AT74" i="10" s="1"/>
  <c r="L73" i="1" s="1"/>
  <c r="L75" i="10"/>
  <c r="AN75" i="10" s="1"/>
  <c r="L76" i="10"/>
  <c r="L77" i="10"/>
  <c r="AN77" i="10" s="1"/>
  <c r="L78" i="10"/>
  <c r="L79" i="10"/>
  <c r="AN79" i="10" s="1"/>
  <c r="L80" i="10"/>
  <c r="L81" i="10"/>
  <c r="L82" i="10"/>
  <c r="L83" i="10"/>
  <c r="L84" i="10"/>
  <c r="L85" i="10"/>
  <c r="AN85" i="10" s="1"/>
  <c r="AT85" i="10" s="1"/>
  <c r="L86" i="10"/>
  <c r="D21" i="1"/>
  <c r="D22" i="1"/>
  <c r="D20" i="1"/>
  <c r="AL86" i="10"/>
  <c r="AL81" i="10"/>
  <c r="AN81" i="10" s="1"/>
  <c r="AL80" i="10"/>
  <c r="M78" i="10"/>
  <c r="U78" i="10" s="1"/>
  <c r="AL76" i="10"/>
  <c r="AB72" i="10"/>
  <c r="AD72" i="10" s="1"/>
  <c r="AL67" i="10"/>
  <c r="AL66" i="10"/>
  <c r="Y66" i="10"/>
  <c r="AA66" i="10" s="1"/>
  <c r="AL63" i="10"/>
  <c r="V63" i="10"/>
  <c r="X63" i="10" s="1"/>
  <c r="AL62" i="10"/>
  <c r="AL61" i="10"/>
  <c r="AL59" i="10"/>
  <c r="AN59" i="10" s="1"/>
  <c r="AM55" i="10"/>
  <c r="AM64" i="10" s="1"/>
  <c r="AL55" i="10"/>
  <c r="AL52" i="10"/>
  <c r="AL51" i="10"/>
  <c r="AL50" i="10"/>
  <c r="AN50" i="10" s="1"/>
  <c r="AL49" i="10"/>
  <c r="AL47" i="10"/>
  <c r="AL46" i="10"/>
  <c r="AL44" i="10"/>
  <c r="AN44" i="10" s="1"/>
  <c r="AL64" i="10"/>
  <c r="AL41" i="10"/>
  <c r="Y41" i="10"/>
  <c r="AA41" i="10" s="1"/>
  <c r="AN41" i="10" s="1"/>
  <c r="AL40" i="10"/>
  <c r="AL38" i="10"/>
  <c r="AN38" i="10" s="1"/>
  <c r="AL37" i="10"/>
  <c r="AM36" i="10"/>
  <c r="AL36" i="10"/>
  <c r="AL35" i="10"/>
  <c r="AL34" i="10"/>
  <c r="AL33" i="10"/>
  <c r="U32" i="10"/>
  <c r="AL31" i="10"/>
  <c r="M31" i="10"/>
  <c r="U31" i="10"/>
  <c r="AL30" i="10"/>
  <c r="AL29" i="10"/>
  <c r="AL28" i="10"/>
  <c r="AL27" i="10"/>
  <c r="K27" i="10"/>
  <c r="L27" i="10"/>
  <c r="AL22" i="10"/>
  <c r="Y22" i="10"/>
  <c r="AA22" i="10" s="1"/>
  <c r="V22" i="10"/>
  <c r="X22" i="10"/>
  <c r="AN22" i="10" s="1"/>
  <c r="AL21" i="10"/>
  <c r="AL20" i="10"/>
  <c r="V20" i="10"/>
  <c r="X20" i="10"/>
  <c r="M26" i="10"/>
  <c r="U26" i="10"/>
  <c r="AN26" i="10" s="1"/>
  <c r="O25" i="10"/>
  <c r="M25" i="10"/>
  <c r="AB19" i="10"/>
  <c r="AD19" i="10" s="1"/>
  <c r="V18" i="10"/>
  <c r="X18" i="10" s="1"/>
  <c r="AN18" i="10" s="1"/>
  <c r="AM17" i="10"/>
  <c r="Y17" i="10"/>
  <c r="AA17" i="10" s="1"/>
  <c r="V17" i="10"/>
  <c r="X17" i="10" s="1"/>
  <c r="Y14" i="10"/>
  <c r="AA14" i="10" s="1"/>
  <c r="V14" i="10"/>
  <c r="X14" i="10" s="1"/>
  <c r="Y12" i="10"/>
  <c r="AA12" i="10" s="1"/>
  <c r="AA42" i="10" s="1"/>
  <c r="V12" i="10"/>
  <c r="X12" i="10" s="1"/>
  <c r="AL11" i="10"/>
  <c r="AI11" i="10"/>
  <c r="AL10" i="10"/>
  <c r="AI10" i="10"/>
  <c r="AI42" i="10" s="1"/>
  <c r="AD10" i="10"/>
  <c r="AA10" i="10"/>
  <c r="X10" i="10"/>
  <c r="U10" i="10"/>
  <c r="L10" i="10"/>
  <c r="L42" i="10" s="1"/>
  <c r="D34" i="1"/>
  <c r="D29" i="1"/>
  <c r="D27" i="1"/>
  <c r="D24" i="1"/>
  <c r="D11" i="1"/>
  <c r="D12" i="1"/>
  <c r="D13" i="1"/>
  <c r="D14" i="1"/>
  <c r="D15" i="1"/>
  <c r="D16" i="1"/>
  <c r="D17" i="1"/>
  <c r="D18" i="1"/>
  <c r="D19" i="1"/>
  <c r="D10" i="1"/>
  <c r="T33" i="7"/>
  <c r="V33" i="7"/>
  <c r="AL33" i="7" s="1"/>
  <c r="W27" i="7"/>
  <c r="Y27" i="7" s="1"/>
  <c r="AL27" i="7" s="1"/>
  <c r="W25" i="7"/>
  <c r="Y25" i="7" s="1"/>
  <c r="Y37" i="7" s="1"/>
  <c r="Y44" i="7" s="1"/>
  <c r="T25" i="7"/>
  <c r="V25" i="7" s="1"/>
  <c r="K37" i="14"/>
  <c r="K127" i="1"/>
  <c r="AM10" i="11"/>
  <c r="AU10" i="11" s="1"/>
  <c r="AU14" i="11" s="1"/>
  <c r="AU12" i="11"/>
  <c r="AU11" i="11"/>
  <c r="AV16" i="11"/>
  <c r="AN16" i="11"/>
  <c r="G169" i="1"/>
  <c r="Y9" i="12"/>
  <c r="AL9" i="12" s="1"/>
  <c r="AM18" i="9"/>
  <c r="F106" i="1"/>
  <c r="L106" i="1"/>
  <c r="H105" i="1"/>
  <c r="AR17" i="7"/>
  <c r="L105" i="1" s="1"/>
  <c r="F105" i="1"/>
  <c r="AN45" i="10"/>
  <c r="P172" i="1"/>
  <c r="AP36" i="11"/>
  <c r="AK35" i="11"/>
  <c r="AS44" i="9"/>
  <c r="BA44" i="9"/>
  <c r="L144" i="1" s="1"/>
  <c r="P63" i="1"/>
  <c r="F170" i="1"/>
  <c r="T14" i="11"/>
  <c r="AM29" i="11"/>
  <c r="AS29" i="11"/>
  <c r="AF44" i="7"/>
  <c r="R96" i="1"/>
  <c r="O96" i="1"/>
  <c r="U25" i="10"/>
  <c r="AN53" i="10"/>
  <c r="AN49" i="10"/>
  <c r="AT49" i="10" s="1"/>
  <c r="L47" i="1" s="1"/>
  <c r="AA44" i="7"/>
  <c r="AL11" i="7"/>
  <c r="AK44" i="7"/>
  <c r="K36" i="14"/>
  <c r="Z44" i="7"/>
  <c r="J44" i="7"/>
  <c r="C36" i="14" s="1"/>
  <c r="AJ15" i="7"/>
  <c r="AB37" i="7"/>
  <c r="S37" i="7"/>
  <c r="AL41" i="7"/>
  <c r="AG37" i="7"/>
  <c r="Y15" i="7"/>
  <c r="AB15" i="7"/>
  <c r="N96" i="1"/>
  <c r="AJ43" i="7"/>
  <c r="AJ37" i="7"/>
  <c r="AI44" i="7"/>
  <c r="F110" i="1"/>
  <c r="AN22" i="7"/>
  <c r="AB20" i="13"/>
  <c r="AL22" i="13"/>
  <c r="AR22" i="13"/>
  <c r="AL9" i="13"/>
  <c r="F49" i="1"/>
  <c r="AT71" i="10"/>
  <c r="L70" i="1" s="1"/>
  <c r="AL23" i="13"/>
  <c r="AR23" i="13"/>
  <c r="AL24" i="13"/>
  <c r="AR24" i="13"/>
  <c r="L182" i="1" s="1"/>
  <c r="L183" i="1" s="1"/>
  <c r="R183" i="1"/>
  <c r="O183" i="1"/>
  <c r="N183" i="1"/>
  <c r="N184" i="1" s="1"/>
  <c r="P41" i="1"/>
  <c r="AG13" i="12"/>
  <c r="F148" i="1"/>
  <c r="AN51" i="10"/>
  <c r="AT51" i="10" s="1"/>
  <c r="AM23" i="9"/>
  <c r="AM24" i="9"/>
  <c r="AR26" i="7"/>
  <c r="L114" i="1" s="1"/>
  <c r="AL19" i="13"/>
  <c r="F177" i="1" s="1"/>
  <c r="AN32" i="10"/>
  <c r="AT32" i="10" s="1"/>
  <c r="L32" i="1" s="1"/>
  <c r="AN28" i="10"/>
  <c r="AT28" i="10"/>
  <c r="L28" i="1" s="1"/>
  <c r="AN80" i="10"/>
  <c r="AD64" i="10"/>
  <c r="AI87" i="10"/>
  <c r="AS21" i="9"/>
  <c r="AU41" i="9"/>
  <c r="F142" i="1" s="1"/>
  <c r="BA41" i="9"/>
  <c r="L142" i="1" s="1"/>
  <c r="W35" i="11"/>
  <c r="AM30" i="11"/>
  <c r="F47" i="1"/>
  <c r="F44" i="1"/>
  <c r="AT45" i="10"/>
  <c r="L44" i="1" s="1"/>
  <c r="AR10" i="7"/>
  <c r="L87" i="1" s="1"/>
  <c r="F87" i="1"/>
  <c r="F155" i="1"/>
  <c r="AN86" i="10"/>
  <c r="AT86" i="10" s="1"/>
  <c r="AM29" i="9"/>
  <c r="AS29" i="9" s="1"/>
  <c r="BA29" i="9" s="1"/>
  <c r="L137" i="1" s="1"/>
  <c r="F98" i="1"/>
  <c r="AN37" i="10"/>
  <c r="AT37" i="10" s="1"/>
  <c r="U64" i="10"/>
  <c r="S43" i="7"/>
  <c r="AW33" i="11"/>
  <c r="AN34" i="10"/>
  <c r="AT34" i="10" s="1"/>
  <c r="L34" i="1" s="1"/>
  <c r="AH45" i="9"/>
  <c r="I37" i="14"/>
  <c r="AM28" i="9"/>
  <c r="AS28" i="9"/>
  <c r="AM31" i="9"/>
  <c r="AS31" i="9"/>
  <c r="AM34" i="9"/>
  <c r="AM42" i="9"/>
  <c r="W14" i="11"/>
  <c r="T35" i="11"/>
  <c r="AM34" i="11"/>
  <c r="F93" i="1"/>
  <c r="F191" i="1"/>
  <c r="D28" i="14"/>
  <c r="AV12" i="11"/>
  <c r="AD14" i="11"/>
  <c r="AD36" i="11" s="1"/>
  <c r="G39" i="14" s="1"/>
  <c r="AN33" i="10"/>
  <c r="F33" i="1" s="1"/>
  <c r="X87" i="10"/>
  <c r="AL35" i="7"/>
  <c r="AM22" i="9"/>
  <c r="AN22" i="9"/>
  <c r="AM12" i="11"/>
  <c r="F100" i="1"/>
  <c r="F182" i="1"/>
  <c r="F183" i="1"/>
  <c r="C17" i="14" s="1"/>
  <c r="AR10" i="11"/>
  <c r="AR14" i="11" s="1"/>
  <c r="AN73" i="10"/>
  <c r="F72" i="1"/>
  <c r="AN35" i="10"/>
  <c r="AL30" i="7"/>
  <c r="AR30" i="7" s="1"/>
  <c r="L120" i="1" s="1"/>
  <c r="AM11" i="9"/>
  <c r="AM20" i="11"/>
  <c r="AN20" i="11"/>
  <c r="G157" i="1" s="1"/>
  <c r="AC35" i="11"/>
  <c r="AL18" i="13"/>
  <c r="AM31" i="11"/>
  <c r="AO16" i="12"/>
  <c r="H191" i="1" s="1"/>
  <c r="F28" i="14" s="1"/>
  <c r="L64" i="10"/>
  <c r="AN70" i="10"/>
  <c r="F69" i="1" s="1"/>
  <c r="AN56" i="10"/>
  <c r="AT56" i="10" s="1"/>
  <c r="L55" i="1" s="1"/>
  <c r="AS30" i="9"/>
  <c r="AU20" i="11"/>
  <c r="AT60" i="10"/>
  <c r="L59" i="1" s="1"/>
  <c r="AT35" i="10"/>
  <c r="L35" i="1" s="1"/>
  <c r="F35" i="1"/>
  <c r="AS10" i="11"/>
  <c r="L98" i="1" s="1"/>
  <c r="F34" i="1"/>
  <c r="AO23" i="9"/>
  <c r="AS23" i="9" s="1"/>
  <c r="BA23" i="9" s="1"/>
  <c r="L135" i="1" s="1"/>
  <c r="AU30" i="11"/>
  <c r="AS30" i="11"/>
  <c r="F167" i="1"/>
  <c r="F28" i="1"/>
  <c r="AU31" i="11"/>
  <c r="AS31" i="11"/>
  <c r="L168" i="1"/>
  <c r="AS42" i="9"/>
  <c r="BA42" i="9" s="1"/>
  <c r="L143" i="1" s="1"/>
  <c r="AU42" i="9"/>
  <c r="F143" i="1"/>
  <c r="AR35" i="7"/>
  <c r="L125" i="1"/>
  <c r="F125" i="1"/>
  <c r="L167" i="1"/>
  <c r="D24" i="14"/>
  <c r="AU21" i="9"/>
  <c r="F134" i="1"/>
  <c r="AN52" i="10"/>
  <c r="AN47" i="10"/>
  <c r="AN46" i="10"/>
  <c r="AT46" i="10" s="1"/>
  <c r="AN30" i="10"/>
  <c r="AT30" i="10" s="1"/>
  <c r="L30" i="1" s="1"/>
  <c r="AV31" i="11"/>
  <c r="F168" i="1"/>
  <c r="AU16" i="11"/>
  <c r="F153" i="1"/>
  <c r="AN55" i="10"/>
  <c r="AL87" i="10"/>
  <c r="V16" i="12"/>
  <c r="AN76" i="10"/>
  <c r="AC16" i="12"/>
  <c r="G40" i="14"/>
  <c r="AL14" i="13"/>
  <c r="AT52" i="10"/>
  <c r="L51" i="1" s="1"/>
  <c r="F51" i="1"/>
  <c r="I151" i="1"/>
  <c r="F13" i="14"/>
  <c r="J151" i="1"/>
  <c r="G13" i="14"/>
  <c r="I84" i="1"/>
  <c r="P85" i="1" s="1"/>
  <c r="H63" i="1"/>
  <c r="K172" i="1"/>
  <c r="G172" i="1"/>
  <c r="N173" i="1"/>
  <c r="H151" i="1"/>
  <c r="E13" i="14"/>
  <c r="G41" i="1"/>
  <c r="K84" i="1"/>
  <c r="I103" i="1"/>
  <c r="J63" i="1"/>
  <c r="G8" i="14"/>
  <c r="K41" i="1"/>
  <c r="H172" i="1"/>
  <c r="K151" i="1"/>
  <c r="H13" i="14" s="1"/>
  <c r="D7" i="14"/>
  <c r="I172" i="1"/>
  <c r="G151" i="1"/>
  <c r="K165" i="1"/>
  <c r="H84" i="1"/>
  <c r="D15" i="14"/>
  <c r="I165" i="1"/>
  <c r="I41" i="1"/>
  <c r="F7" i="14" s="1"/>
  <c r="O184" i="1"/>
  <c r="K178" i="1"/>
  <c r="G63" i="1"/>
  <c r="N64" i="1" s="1"/>
  <c r="D17" i="14"/>
  <c r="AR25" i="13"/>
  <c r="S183" i="1"/>
  <c r="AR9" i="13"/>
  <c r="L49" i="1" s="1"/>
  <c r="AQ26" i="13"/>
  <c r="J192" i="1" s="1"/>
  <c r="H29" i="14" s="1"/>
  <c r="Q184" i="1"/>
  <c r="I145" i="1"/>
  <c r="F12" i="14" s="1"/>
  <c r="I178" i="1"/>
  <c r="AL25" i="13"/>
  <c r="M183" i="1"/>
  <c r="M184" i="1" s="1"/>
  <c r="S15" i="13"/>
  <c r="S26" i="13" s="1"/>
  <c r="D41" i="14" s="1"/>
  <c r="AH26" i="13"/>
  <c r="J178" i="1"/>
  <c r="G16" i="14" s="1"/>
  <c r="K63" i="1"/>
  <c r="H8" i="14" s="1"/>
  <c r="W26" i="13"/>
  <c r="X26" i="13"/>
  <c r="T26" i="13"/>
  <c r="F176" i="1"/>
  <c r="AR19" i="13"/>
  <c r="L177" i="1" s="1"/>
  <c r="L176" i="1"/>
  <c r="AD20" i="13"/>
  <c r="AD26" i="13"/>
  <c r="H41" i="14" s="1"/>
  <c r="H42" i="14" s="1"/>
  <c r="Y17" i="13"/>
  <c r="Y20" i="13"/>
  <c r="Y26" i="13" s="1"/>
  <c r="AR14" i="13"/>
  <c r="L117" i="1"/>
  <c r="F117" i="1"/>
  <c r="AB26" i="13"/>
  <c r="F41" i="14" s="1"/>
  <c r="P184" i="1"/>
  <c r="V20" i="13"/>
  <c r="AJ20" i="13"/>
  <c r="AJ26" i="13" s="1"/>
  <c r="J41" i="14" s="1"/>
  <c r="J11" i="13"/>
  <c r="J15" i="13"/>
  <c r="J26" i="13" s="1"/>
  <c r="C41" i="14" s="1"/>
  <c r="AL13" i="13"/>
  <c r="AR18" i="13"/>
  <c r="L175" i="1" s="1"/>
  <c r="AO26" i="13"/>
  <c r="H192" i="1" s="1"/>
  <c r="F29" i="14" s="1"/>
  <c r="S20" i="13"/>
  <c r="G17" i="14"/>
  <c r="AF26" i="13"/>
  <c r="J20" i="13"/>
  <c r="AG20" i="13"/>
  <c r="F9" i="14"/>
  <c r="Q152" i="1"/>
  <c r="D13" i="14"/>
  <c r="N152" i="1"/>
  <c r="E10" i="14"/>
  <c r="H14" i="14"/>
  <c r="R166" i="1"/>
  <c r="P42" i="1"/>
  <c r="P166" i="1"/>
  <c r="F14" i="14"/>
  <c r="E9" i="14"/>
  <c r="O85" i="1"/>
  <c r="F15" i="14"/>
  <c r="P173" i="1"/>
  <c r="Q179" i="1"/>
  <c r="F116" i="1"/>
  <c r="AR13" i="13"/>
  <c r="AR15" i="13" s="1"/>
  <c r="AL15" i="13"/>
  <c r="G178" i="1"/>
  <c r="D16" i="14"/>
  <c r="AM20" i="13"/>
  <c r="N178" i="1"/>
  <c r="N179" i="1" s="1"/>
  <c r="L116" i="1"/>
  <c r="AM26" i="13"/>
  <c r="F192" i="1"/>
  <c r="D29" i="14" s="1"/>
  <c r="AU23" i="11"/>
  <c r="F160" i="1"/>
  <c r="AO23" i="11"/>
  <c r="H160" i="1"/>
  <c r="F16" i="14"/>
  <c r="P179" i="1"/>
  <c r="R42" i="1"/>
  <c r="H7" i="14"/>
  <c r="R173" i="1"/>
  <c r="H15" i="14"/>
  <c r="AR76" i="10"/>
  <c r="F75" i="1"/>
  <c r="AS24" i="9"/>
  <c r="AU23" i="9"/>
  <c r="F135" i="1"/>
  <c r="F52" i="1"/>
  <c r="AT53" i="10"/>
  <c r="L52" i="1" s="1"/>
  <c r="F58" i="1"/>
  <c r="AT59" i="10"/>
  <c r="L58" i="1"/>
  <c r="AT16" i="10"/>
  <c r="L16" i="1"/>
  <c r="F16" i="1"/>
  <c r="F48" i="1"/>
  <c r="AT50" i="10"/>
  <c r="L48" i="1"/>
  <c r="AL9" i="7"/>
  <c r="S15" i="7"/>
  <c r="S44" i="7" s="1"/>
  <c r="AV25" i="11"/>
  <c r="F162" i="1"/>
  <c r="AM26" i="11"/>
  <c r="Z28" i="11"/>
  <c r="AR36" i="7"/>
  <c r="L126" i="1" s="1"/>
  <c r="F126" i="1"/>
  <c r="AG26" i="13"/>
  <c r="I41" i="14"/>
  <c r="O104" i="1"/>
  <c r="H10" i="14"/>
  <c r="AS39" i="9"/>
  <c r="BA39" i="9"/>
  <c r="L141" i="1" s="1"/>
  <c r="F119" i="1"/>
  <c r="F124" i="1"/>
  <c r="F91" i="1"/>
  <c r="AN83" i="10"/>
  <c r="U87" i="10"/>
  <c r="AK45" i="9"/>
  <c r="J37" i="14"/>
  <c r="AM8" i="9"/>
  <c r="AN10" i="9"/>
  <c r="AU10" i="9"/>
  <c r="F128" i="1" s="1"/>
  <c r="AC45" i="9"/>
  <c r="F37" i="14" s="1"/>
  <c r="AN25" i="11"/>
  <c r="G162" i="1" s="1"/>
  <c r="R184" i="1"/>
  <c r="O152" i="1"/>
  <c r="P146" i="1"/>
  <c r="AL17" i="13"/>
  <c r="Q64" i="1"/>
  <c r="AT55" i="10"/>
  <c r="L54" i="1" s="1"/>
  <c r="F54" i="1"/>
  <c r="W28" i="11"/>
  <c r="W36" i="11"/>
  <c r="AT47" i="10"/>
  <c r="L45" i="1" s="1"/>
  <c r="F45" i="1"/>
  <c r="AN34" i="9"/>
  <c r="AS34" i="9" s="1"/>
  <c r="AO11" i="9"/>
  <c r="AW11" i="9" s="1"/>
  <c r="H129" i="1" s="1"/>
  <c r="F150" i="1"/>
  <c r="AT73" i="10"/>
  <c r="L72" i="1" s="1"/>
  <c r="F32" i="1"/>
  <c r="K98" i="1"/>
  <c r="K103" i="1"/>
  <c r="AN11" i="10"/>
  <c r="E15" i="14"/>
  <c r="O173" i="1"/>
  <c r="F11" i="14"/>
  <c r="P104" i="1"/>
  <c r="F157" i="1"/>
  <c r="AS20" i="11"/>
  <c r="L157" i="1"/>
  <c r="AM27" i="11"/>
  <c r="K28" i="11"/>
  <c r="F95" i="1"/>
  <c r="AR12" i="12"/>
  <c r="L95" i="1" s="1"/>
  <c r="AU11" i="9"/>
  <c r="F129" i="1" s="1"/>
  <c r="F78" i="1"/>
  <c r="AT79" i="10"/>
  <c r="L78" i="1" s="1"/>
  <c r="F43" i="1"/>
  <c r="AT44" i="10"/>
  <c r="W45" i="9"/>
  <c r="E37" i="14" s="1"/>
  <c r="AM12" i="9"/>
  <c r="AS13" i="9"/>
  <c r="BA13" i="9"/>
  <c r="L131" i="1" s="1"/>
  <c r="AU13" i="9"/>
  <c r="F131" i="1" s="1"/>
  <c r="AV18" i="11"/>
  <c r="AU18" i="11"/>
  <c r="AS18" i="11"/>
  <c r="L155" i="1"/>
  <c r="F158" i="1"/>
  <c r="AQ21" i="11"/>
  <c r="AU21" i="11"/>
  <c r="AS21" i="11"/>
  <c r="L158" i="1" s="1"/>
  <c r="AK28" i="11"/>
  <c r="AK36" i="11" s="1"/>
  <c r="J39" i="14" s="1"/>
  <c r="H16" i="14"/>
  <c r="R179" i="1"/>
  <c r="R85" i="1"/>
  <c r="H9" i="14"/>
  <c r="E8" i="14"/>
  <c r="O64" i="1"/>
  <c r="Q97" i="1"/>
  <c r="F120" i="1"/>
  <c r="F55" i="1"/>
  <c r="AZ45" i="9"/>
  <c r="J188" i="1" s="1"/>
  <c r="K45" i="9"/>
  <c r="C37" i="14"/>
  <c r="AS22" i="9"/>
  <c r="BA21" i="9"/>
  <c r="L134" i="1" s="1"/>
  <c r="AV21" i="9"/>
  <c r="G134" i="1" s="1"/>
  <c r="AG16" i="12"/>
  <c r="I40" i="14" s="1"/>
  <c r="AN18" i="9"/>
  <c r="G153" i="1"/>
  <c r="AS16" i="11"/>
  <c r="S13" i="12"/>
  <c r="S16" i="12" s="1"/>
  <c r="D40" i="14" s="1"/>
  <c r="AL11" i="12"/>
  <c r="F46" i="1"/>
  <c r="AT48" i="10"/>
  <c r="L46" i="1"/>
  <c r="F38" i="1"/>
  <c r="AT39" i="10"/>
  <c r="L38" i="1" s="1"/>
  <c r="AJ44" i="7"/>
  <c r="J36" i="14" s="1"/>
  <c r="H190" i="1"/>
  <c r="F27" i="14" s="1"/>
  <c r="AP43" i="11"/>
  <c r="P151" i="1"/>
  <c r="P152" i="1"/>
  <c r="AO44" i="7"/>
  <c r="H187" i="1"/>
  <c r="V11" i="13"/>
  <c r="V26" i="13"/>
  <c r="E41" i="14" s="1"/>
  <c r="AT75" i="10"/>
  <c r="L74" i="1" s="1"/>
  <c r="F74" i="1"/>
  <c r="AI64" i="10"/>
  <c r="AN78" i="10"/>
  <c r="AN31" i="10"/>
  <c r="AN25" i="10"/>
  <c r="F22" i="1" s="1"/>
  <c r="AN82" i="10"/>
  <c r="AO82" i="10" s="1"/>
  <c r="AT82" i="10" s="1"/>
  <c r="L81" i="1" s="1"/>
  <c r="AN23" i="10"/>
  <c r="AN84" i="10"/>
  <c r="AN29" i="10"/>
  <c r="AN62" i="10"/>
  <c r="F61" i="1" s="1"/>
  <c r="AN58" i="10"/>
  <c r="Z45" i="9"/>
  <c r="AH28" i="11"/>
  <c r="AH36" i="11"/>
  <c r="I39" i="14" s="1"/>
  <c r="AM32" i="11"/>
  <c r="R151" i="1"/>
  <c r="R152" i="1"/>
  <c r="AQ44" i="7"/>
  <c r="J187" i="1"/>
  <c r="AP26" i="13"/>
  <c r="I192" i="1"/>
  <c r="G29" i="14" s="1"/>
  <c r="U42" i="10"/>
  <c r="U88" i="10" s="1"/>
  <c r="D38" i="14" s="1"/>
  <c r="AN27" i="10"/>
  <c r="F27" i="1" s="1"/>
  <c r="AN24" i="10"/>
  <c r="AT24" i="10" s="1"/>
  <c r="L21" i="1" s="1"/>
  <c r="Y43" i="7"/>
  <c r="AM35" i="9"/>
  <c r="AU35" i="9" s="1"/>
  <c r="F139" i="1" s="1"/>
  <c r="AC28" i="11"/>
  <c r="AC36" i="11"/>
  <c r="F39" i="14" s="1"/>
  <c r="J13" i="12"/>
  <c r="J16" i="12" s="1"/>
  <c r="C40" i="14" s="1"/>
  <c r="R63" i="1"/>
  <c r="R64" i="1" s="1"/>
  <c r="AS88" i="10"/>
  <c r="J189" i="1" s="1"/>
  <c r="H26" i="14" s="1"/>
  <c r="AL42" i="10"/>
  <c r="AL88" i="10"/>
  <c r="J38" i="14" s="1"/>
  <c r="AL24" i="7"/>
  <c r="AR24" i="7" s="1"/>
  <c r="L112" i="1" s="1"/>
  <c r="AL39" i="7"/>
  <c r="AL28" i="7"/>
  <c r="AM9" i="9"/>
  <c r="AO9" i="9"/>
  <c r="AM37" i="9"/>
  <c r="AU37" i="9"/>
  <c r="F140" i="1" s="1"/>
  <c r="AM17" i="11"/>
  <c r="AV17" i="11" s="1"/>
  <c r="AM24" i="11"/>
  <c r="AC44" i="7"/>
  <c r="G36" i="14" s="1"/>
  <c r="G42" i="14" s="1"/>
  <c r="AN20" i="10"/>
  <c r="AL32" i="7"/>
  <c r="AR32" i="7" s="1"/>
  <c r="L122" i="1" s="1"/>
  <c r="AL21" i="7"/>
  <c r="AM22" i="11"/>
  <c r="AU22" i="11" s="1"/>
  <c r="AU28" i="11" s="1"/>
  <c r="AF36" i="11"/>
  <c r="AP32" i="7"/>
  <c r="AW17" i="11"/>
  <c r="F154" i="1"/>
  <c r="F169" i="1"/>
  <c r="AM35" i="11"/>
  <c r="M172" i="1"/>
  <c r="AV32" i="11"/>
  <c r="AV35" i="11"/>
  <c r="AS32" i="11"/>
  <c r="AW32" i="11"/>
  <c r="AW35" i="11" s="1"/>
  <c r="F81" i="1"/>
  <c r="AV10" i="9"/>
  <c r="J75" i="1"/>
  <c r="AS37" i="9"/>
  <c r="BA37" i="9" s="1"/>
  <c r="L140" i="1" s="1"/>
  <c r="AT25" i="10"/>
  <c r="L22" i="1" s="1"/>
  <c r="F94" i="1"/>
  <c r="AR11" i="12"/>
  <c r="L94" i="1"/>
  <c r="AW27" i="11"/>
  <c r="AS27" i="11"/>
  <c r="L164" i="1"/>
  <c r="F164" i="1"/>
  <c r="AU8" i="9"/>
  <c r="AS8" i="9"/>
  <c r="AW26" i="11"/>
  <c r="F163" i="1"/>
  <c r="AS26" i="11"/>
  <c r="L163" i="1" s="1"/>
  <c r="H24" i="14"/>
  <c r="AT84" i="10"/>
  <c r="L83" i="1" s="1"/>
  <c r="F83" i="1"/>
  <c r="AT31" i="10"/>
  <c r="L31" i="1" s="1"/>
  <c r="F31" i="1"/>
  <c r="L43" i="1"/>
  <c r="AS25" i="11"/>
  <c r="L162" i="1" s="1"/>
  <c r="AS11" i="9"/>
  <c r="BA11" i="9" s="1"/>
  <c r="L129" i="1" s="1"/>
  <c r="AR39" i="7"/>
  <c r="F147" i="1"/>
  <c r="AL43" i="7"/>
  <c r="M151" i="1" s="1"/>
  <c r="M152" i="1" s="1"/>
  <c r="H11" i="14"/>
  <c r="AN17" i="13"/>
  <c r="AR17" i="13" s="1"/>
  <c r="F174" i="1"/>
  <c r="F178" i="1"/>
  <c r="C16" i="14" s="1"/>
  <c r="AL20" i="13"/>
  <c r="M178" i="1" s="1"/>
  <c r="F82" i="1"/>
  <c r="AO83" i="10"/>
  <c r="G82" i="1" s="1"/>
  <c r="AT20" i="10"/>
  <c r="L24" i="1" s="1"/>
  <c r="F24" i="1"/>
  <c r="F112" i="1"/>
  <c r="AT29" i="10"/>
  <c r="L29" i="1" s="1"/>
  <c r="F29" i="1"/>
  <c r="J42" i="14"/>
  <c r="F109" i="1"/>
  <c r="AR21" i="7"/>
  <c r="L109" i="1" s="1"/>
  <c r="AN24" i="11"/>
  <c r="G161" i="1" s="1"/>
  <c r="F161" i="1"/>
  <c r="AV24" i="11"/>
  <c r="AR28" i="7"/>
  <c r="L118" i="1" s="1"/>
  <c r="F118" i="1"/>
  <c r="AS35" i="9"/>
  <c r="BA35" i="9"/>
  <c r="L139" i="1" s="1"/>
  <c r="F57" i="1"/>
  <c r="AT58" i="10"/>
  <c r="L57" i="1" s="1"/>
  <c r="F20" i="1"/>
  <c r="AT23" i="10"/>
  <c r="L20" i="1"/>
  <c r="F77" i="1"/>
  <c r="AT78" i="10"/>
  <c r="L77" i="1" s="1"/>
  <c r="L153" i="1"/>
  <c r="AQ28" i="11"/>
  <c r="Q165" i="1" s="1"/>
  <c r="J158" i="1"/>
  <c r="J165" i="1" s="1"/>
  <c r="AS12" i="9"/>
  <c r="BA12" i="9" s="1"/>
  <c r="L130" i="1" s="1"/>
  <c r="AU12" i="9"/>
  <c r="F130" i="1"/>
  <c r="AR11" i="10"/>
  <c r="AT11" i="10" s="1"/>
  <c r="L11" i="1" s="1"/>
  <c r="F11" i="1"/>
  <c r="AT76" i="10"/>
  <c r="AO10" i="9"/>
  <c r="AW10" i="9" s="1"/>
  <c r="AR9" i="7"/>
  <c r="L86" i="1"/>
  <c r="F86" i="1"/>
  <c r="AS23" i="11"/>
  <c r="L160" i="1" s="1"/>
  <c r="G128" i="1"/>
  <c r="L169" i="1"/>
  <c r="H174" i="1"/>
  <c r="H178" i="1" s="1"/>
  <c r="AN20" i="13"/>
  <c r="AN26" i="13" s="1"/>
  <c r="F127" i="1"/>
  <c r="AR42" i="10"/>
  <c r="AS10" i="9"/>
  <c r="AY10" i="9" s="1"/>
  <c r="J128" i="1" s="1"/>
  <c r="G81" i="1"/>
  <c r="L75" i="1"/>
  <c r="AP37" i="7"/>
  <c r="Q145" i="1"/>
  <c r="J122" i="1"/>
  <c r="L147" i="1"/>
  <c r="AW8" i="9"/>
  <c r="AP44" i="7"/>
  <c r="I187" i="1" s="1"/>
  <c r="O178" i="1"/>
  <c r="AT62" i="10"/>
  <c r="L61" i="1" s="1"/>
  <c r="AT27" i="10"/>
  <c r="L27" i="1" s="1"/>
  <c r="F24" i="14"/>
  <c r="L41" i="14"/>
  <c r="AS24" i="11"/>
  <c r="L161" i="1" s="1"/>
  <c r="F159" i="1"/>
  <c r="AO22" i="11"/>
  <c r="I49" i="14"/>
  <c r="D36" i="14"/>
  <c r="D49" i="14"/>
  <c r="AS9" i="9"/>
  <c r="AU29" i="9"/>
  <c r="F137" i="1" s="1"/>
  <c r="F171" i="1"/>
  <c r="F172" i="1" s="1"/>
  <c r="AU34" i="11"/>
  <c r="AU35" i="11" s="1"/>
  <c r="AU36" i="11" s="1"/>
  <c r="AQ34" i="11"/>
  <c r="F73" i="1"/>
  <c r="F56" i="1"/>
  <c r="AR22" i="7"/>
  <c r="L110" i="1" s="1"/>
  <c r="H110" i="1"/>
  <c r="AN14" i="10"/>
  <c r="AT14" i="10" s="1"/>
  <c r="L14" i="1" s="1"/>
  <c r="F68" i="1"/>
  <c r="AT69" i="10"/>
  <c r="L68" i="1" s="1"/>
  <c r="V37" i="7"/>
  <c r="AL25" i="7"/>
  <c r="F67" i="1"/>
  <c r="AT68" i="10"/>
  <c r="AT54" i="10"/>
  <c r="F53" i="1"/>
  <c r="AT38" i="10"/>
  <c r="L37" i="1"/>
  <c r="F37" i="1"/>
  <c r="F13" i="1"/>
  <c r="AP13" i="10"/>
  <c r="AT13" i="10"/>
  <c r="L13" i="1" s="1"/>
  <c r="AR27" i="7"/>
  <c r="L115" i="1" s="1"/>
  <c r="F115" i="1"/>
  <c r="F149" i="1"/>
  <c r="F151" i="1"/>
  <c r="AR41" i="7"/>
  <c r="F88" i="1"/>
  <c r="AR11" i="7"/>
  <c r="F108" i="1"/>
  <c r="AR20" i="7"/>
  <c r="L108" i="1" s="1"/>
  <c r="F79" i="1"/>
  <c r="AT80" i="10"/>
  <c r="L79" i="1"/>
  <c r="F15" i="1"/>
  <c r="AT15" i="10"/>
  <c r="L15" i="1" s="1"/>
  <c r="AL23" i="7"/>
  <c r="AW12" i="11"/>
  <c r="AW14" i="11"/>
  <c r="K14" i="11"/>
  <c r="K36" i="11"/>
  <c r="AN12" i="11"/>
  <c r="AM19" i="11"/>
  <c r="Z35" i="11"/>
  <c r="Z36" i="11"/>
  <c r="E39" i="14" s="1"/>
  <c r="AL15" i="12"/>
  <c r="AI36" i="11"/>
  <c r="I96" i="1"/>
  <c r="Z26" i="13"/>
  <c r="AT33" i="10"/>
  <c r="L33" i="1" s="1"/>
  <c r="AN19" i="10"/>
  <c r="AL19" i="7"/>
  <c r="AM26" i="9"/>
  <c r="AU26" i="9" s="1"/>
  <c r="K145" i="1"/>
  <c r="AB13" i="12"/>
  <c r="AB16" i="12" s="1"/>
  <c r="F40" i="14" s="1"/>
  <c r="AL12" i="7"/>
  <c r="O97" i="1"/>
  <c r="T36" i="11"/>
  <c r="D39" i="14"/>
  <c r="AN40" i="10"/>
  <c r="AT40" i="10" s="1"/>
  <c r="L39" i="1" s="1"/>
  <c r="AL31" i="7"/>
  <c r="AB43" i="7"/>
  <c r="AB44" i="7"/>
  <c r="F36" i="14" s="1"/>
  <c r="AL13" i="7"/>
  <c r="AL15" i="7" s="1"/>
  <c r="AM17" i="9"/>
  <c r="AM19" i="9"/>
  <c r="AN19" i="9" s="1"/>
  <c r="AM33" i="9"/>
  <c r="AM38" i="9"/>
  <c r="AS38" i="9" s="1"/>
  <c r="V15" i="7"/>
  <c r="V44" i="7" s="1"/>
  <c r="G96" i="1"/>
  <c r="AL10" i="13"/>
  <c r="AR10" i="13" s="1"/>
  <c r="I63" i="1"/>
  <c r="F8" i="14" s="1"/>
  <c r="F18" i="14" s="1"/>
  <c r="C13" i="14"/>
  <c r="F50" i="1"/>
  <c r="AL11" i="13"/>
  <c r="AU33" i="9"/>
  <c r="F138" i="1"/>
  <c r="AN33" i="9"/>
  <c r="AV33" i="9"/>
  <c r="G138" i="1" s="1"/>
  <c r="AS26" i="9"/>
  <c r="BA26" i="9" s="1"/>
  <c r="L136" i="1" s="1"/>
  <c r="L149" i="1"/>
  <c r="L151" i="1"/>
  <c r="AR43" i="7"/>
  <c r="S151" i="1"/>
  <c r="F14" i="1"/>
  <c r="AU18" i="9"/>
  <c r="F133" i="1" s="1"/>
  <c r="AR12" i="7"/>
  <c r="L89" i="1" s="1"/>
  <c r="F89" i="1"/>
  <c r="F107" i="1"/>
  <c r="AR19" i="7"/>
  <c r="AL37" i="7"/>
  <c r="P97" i="1"/>
  <c r="F10" i="14"/>
  <c r="AN19" i="11"/>
  <c r="AS19" i="11"/>
  <c r="AV19" i="11"/>
  <c r="AV28" i="11"/>
  <c r="AW19" i="11"/>
  <c r="AW28" i="11" s="1"/>
  <c r="AW36" i="11" s="1"/>
  <c r="F156" i="1"/>
  <c r="F165" i="1"/>
  <c r="AM28" i="11"/>
  <c r="AN23" i="7"/>
  <c r="F111" i="1"/>
  <c r="AR23" i="7"/>
  <c r="L111" i="1" s="1"/>
  <c r="H13" i="1"/>
  <c r="H41" i="1"/>
  <c r="O42" i="1" s="1"/>
  <c r="AP42" i="10"/>
  <c r="AY8" i="9"/>
  <c r="J127" i="1" s="1"/>
  <c r="J145" i="1" s="1"/>
  <c r="BA8" i="9"/>
  <c r="H127" i="1"/>
  <c r="I184" i="1"/>
  <c r="D10" i="14"/>
  <c r="N97" i="1"/>
  <c r="AR31" i="7"/>
  <c r="L121" i="1" s="1"/>
  <c r="F121" i="1"/>
  <c r="AN17" i="9"/>
  <c r="AU15" i="9"/>
  <c r="F39" i="1"/>
  <c r="AT19" i="10"/>
  <c r="L19" i="1"/>
  <c r="F19" i="1"/>
  <c r="AN14" i="11"/>
  <c r="AQ12" i="11"/>
  <c r="G100" i="1"/>
  <c r="G103" i="1" s="1"/>
  <c r="AS12" i="11"/>
  <c r="L88" i="1"/>
  <c r="L53" i="1"/>
  <c r="J171" i="1"/>
  <c r="J172" i="1" s="1"/>
  <c r="AQ35" i="11"/>
  <c r="Q172" i="1" s="1"/>
  <c r="AS34" i="11"/>
  <c r="AM45" i="9"/>
  <c r="D42" i="14"/>
  <c r="AS22" i="11"/>
  <c r="L159" i="1"/>
  <c r="AO28" i="11"/>
  <c r="H159" i="1"/>
  <c r="H165" i="1" s="1"/>
  <c r="K49" i="14"/>
  <c r="G49" i="14"/>
  <c r="H49" i="14"/>
  <c r="J49" i="14"/>
  <c r="E49" i="14"/>
  <c r="C49" i="14"/>
  <c r="F49" i="14"/>
  <c r="F90" i="1"/>
  <c r="AR13" i="7"/>
  <c r="L90" i="1"/>
  <c r="H12" i="14"/>
  <c r="H18" i="14"/>
  <c r="R146" i="1"/>
  <c r="K184" i="1"/>
  <c r="AR15" i="12"/>
  <c r="L102" i="1" s="1"/>
  <c r="F102" i="1"/>
  <c r="C39" i="14"/>
  <c r="L39" i="14" s="1"/>
  <c r="AH38" i="11"/>
  <c r="L67" i="1"/>
  <c r="AR25" i="7"/>
  <c r="L113" i="1"/>
  <c r="F113" i="1"/>
  <c r="L49" i="14"/>
  <c r="AO36" i="11"/>
  <c r="O165" i="1"/>
  <c r="N103" i="1"/>
  <c r="F132" i="1"/>
  <c r="H111" i="1"/>
  <c r="AN37" i="7"/>
  <c r="AS33" i="9"/>
  <c r="BA33" i="9" s="1"/>
  <c r="L138" i="1" s="1"/>
  <c r="L100" i="1"/>
  <c r="AV15" i="9"/>
  <c r="L127" i="1"/>
  <c r="M165" i="1"/>
  <c r="L156" i="1"/>
  <c r="M145" i="1"/>
  <c r="L171" i="1"/>
  <c r="L172" i="1"/>
  <c r="AS35" i="11"/>
  <c r="S172" i="1"/>
  <c r="O41" i="1"/>
  <c r="AP88" i="10"/>
  <c r="G189" i="1" s="1"/>
  <c r="E26" i="14" s="1"/>
  <c r="M166" i="1"/>
  <c r="C14" i="14"/>
  <c r="G156" i="1"/>
  <c r="L107" i="1"/>
  <c r="AR15" i="7"/>
  <c r="J100" i="1"/>
  <c r="J103" i="1" s="1"/>
  <c r="AQ14" i="11"/>
  <c r="AQ36" i="11" s="1"/>
  <c r="AS15" i="9"/>
  <c r="I13" i="14"/>
  <c r="S152" i="1"/>
  <c r="AL26" i="13"/>
  <c r="E192" i="1" s="1"/>
  <c r="C29" i="14" s="1"/>
  <c r="M41" i="14" s="1"/>
  <c r="AO43" i="11"/>
  <c r="G190" i="1"/>
  <c r="E27" i="14" s="1"/>
  <c r="AN44" i="7"/>
  <c r="G187" i="1"/>
  <c r="E24" i="14" s="1"/>
  <c r="BA15" i="9"/>
  <c r="S173" i="1"/>
  <c r="I15" i="14"/>
  <c r="Q103" i="1"/>
  <c r="G132" i="1"/>
  <c r="L132" i="1"/>
  <c r="M179" i="1" l="1"/>
  <c r="E7" i="14"/>
  <c r="AA87" i="10"/>
  <c r="AN66" i="10"/>
  <c r="AN72" i="10"/>
  <c r="AD87" i="10"/>
  <c r="AO81" i="10"/>
  <c r="F80" i="1"/>
  <c r="AT81" i="10"/>
  <c r="L80" i="1" s="1"/>
  <c r="AT77" i="10"/>
  <c r="L76" i="1" s="1"/>
  <c r="AR77" i="10"/>
  <c r="F76" i="1"/>
  <c r="F26" i="14"/>
  <c r="H193" i="1"/>
  <c r="H194" i="1" s="1"/>
  <c r="AA88" i="10"/>
  <c r="AJ88" i="10"/>
  <c r="AG88" i="10"/>
  <c r="P64" i="1"/>
  <c r="F30" i="14"/>
  <c r="C56" i="14" s="1"/>
  <c r="J11" i="1"/>
  <c r="J41" i="1" s="1"/>
  <c r="G7" i="14" s="1"/>
  <c r="F21" i="1"/>
  <c r="F30" i="1"/>
  <c r="AT70" i="10"/>
  <c r="L69" i="1" s="1"/>
  <c r="AI88" i="10"/>
  <c r="I38" i="14" s="1"/>
  <c r="AM42" i="10"/>
  <c r="AM88" i="10" s="1"/>
  <c r="K38" i="14" s="1"/>
  <c r="K42" i="14" s="1"/>
  <c r="AD42" i="10"/>
  <c r="AD88" i="10" s="1"/>
  <c r="F38" i="14" s="1"/>
  <c r="F42" i="14" s="1"/>
  <c r="AN36" i="10"/>
  <c r="AN67" i="10"/>
  <c r="AA64" i="10"/>
  <c r="D8" i="14"/>
  <c r="AM41" i="11"/>
  <c r="AS38" i="11" s="1"/>
  <c r="Q104" i="1"/>
  <c r="G11" i="14"/>
  <c r="E14" i="14"/>
  <c r="O166" i="1"/>
  <c r="Q173" i="1"/>
  <c r="G15" i="14"/>
  <c r="D11" i="14"/>
  <c r="N104" i="1"/>
  <c r="G12" i="14"/>
  <c r="Q146" i="1"/>
  <c r="AS18" i="9"/>
  <c r="AV18" i="9"/>
  <c r="AN45" i="9"/>
  <c r="AL44" i="7"/>
  <c r="G192" i="1"/>
  <c r="E29" i="14" s="1"/>
  <c r="L174" i="1"/>
  <c r="L178" i="1" s="1"/>
  <c r="AR20" i="13"/>
  <c r="S178" i="1" s="1"/>
  <c r="AQ43" i="11"/>
  <c r="I190" i="1"/>
  <c r="G27" i="14" s="1"/>
  <c r="G47" i="14"/>
  <c r="C47" i="14"/>
  <c r="J47" i="14"/>
  <c r="F47" i="14"/>
  <c r="K47" i="14"/>
  <c r="H47" i="14"/>
  <c r="I47" i="14"/>
  <c r="D47" i="14"/>
  <c r="L50" i="1"/>
  <c r="AR11" i="13"/>
  <c r="E36" i="14"/>
  <c r="F136" i="1"/>
  <c r="AU45" i="9"/>
  <c r="E188" i="1" s="1"/>
  <c r="C25" i="14" s="1"/>
  <c r="E47" i="14"/>
  <c r="C15" i="14"/>
  <c r="M173" i="1"/>
  <c r="G24" i="14"/>
  <c r="E16" i="14"/>
  <c r="O179" i="1"/>
  <c r="H128" i="1"/>
  <c r="G14" i="14"/>
  <c r="Q166" i="1"/>
  <c r="AR36" i="11"/>
  <c r="R103" i="1"/>
  <c r="R104" i="1" s="1"/>
  <c r="AR9" i="12"/>
  <c r="AL13" i="12"/>
  <c r="AL16" i="12" s="1"/>
  <c r="E191" i="1" s="1"/>
  <c r="C28" i="14" s="1"/>
  <c r="F92" i="1"/>
  <c r="F96" i="1" s="1"/>
  <c r="F123" i="1"/>
  <c r="AR33" i="7"/>
  <c r="F18" i="1"/>
  <c r="AT18" i="10"/>
  <c r="L18" i="1" s="1"/>
  <c r="AT26" i="10"/>
  <c r="L23" i="1" s="1"/>
  <c r="F23" i="1"/>
  <c r="AT22" i="10"/>
  <c r="L26" i="1" s="1"/>
  <c r="F26" i="1"/>
  <c r="AT41" i="10"/>
  <c r="L40" i="1" s="1"/>
  <c r="F40" i="1"/>
  <c r="AO45" i="9"/>
  <c r="O145" i="1" s="1"/>
  <c r="Q41" i="1"/>
  <c r="Q42" i="1" s="1"/>
  <c r="BA10" i="9"/>
  <c r="AT83" i="10"/>
  <c r="L37" i="14"/>
  <c r="H25" i="14"/>
  <c r="S184" i="1"/>
  <c r="I17" i="14"/>
  <c r="X42" i="10"/>
  <c r="AN12" i="10"/>
  <c r="AN17" i="10"/>
  <c r="AT36" i="10"/>
  <c r="L36" i="1" s="1"/>
  <c r="F36" i="1"/>
  <c r="AN63" i="10"/>
  <c r="X64" i="10"/>
  <c r="L88" i="10"/>
  <c r="C38" i="14" s="1"/>
  <c r="AN21" i="10"/>
  <c r="AG44" i="7"/>
  <c r="I36" i="14" s="1"/>
  <c r="AN17" i="11"/>
  <c r="F122" i="1"/>
  <c r="F145" i="1" s="1"/>
  <c r="AW23" i="9"/>
  <c r="H135" i="1" s="1"/>
  <c r="Y13" i="12"/>
  <c r="Y16" i="12" s="1"/>
  <c r="E40" i="14" s="1"/>
  <c r="AN10" i="10"/>
  <c r="AN61" i="10"/>
  <c r="R97" i="1"/>
  <c r="AM11" i="11"/>
  <c r="F66" i="1" l="1"/>
  <c r="AT67" i="10"/>
  <c r="L66" i="1" s="1"/>
  <c r="F65" i="1"/>
  <c r="F84" i="1" s="1"/>
  <c r="AT66" i="10"/>
  <c r="L65" i="1" s="1"/>
  <c r="AN87" i="10"/>
  <c r="M84" i="1" s="1"/>
  <c r="J76" i="1"/>
  <c r="J84" i="1" s="1"/>
  <c r="AR87" i="10"/>
  <c r="G80" i="1"/>
  <c r="G84" i="1" s="1"/>
  <c r="AO87" i="10"/>
  <c r="AT72" i="10"/>
  <c r="L71" i="1" s="1"/>
  <c r="F71" i="1"/>
  <c r="L40" i="14"/>
  <c r="E48" i="14"/>
  <c r="AS11" i="11"/>
  <c r="F99" i="1"/>
  <c r="F103" i="1" s="1"/>
  <c r="AV11" i="11"/>
  <c r="AV14" i="11" s="1"/>
  <c r="AV36" i="11" s="1"/>
  <c r="AM14" i="11"/>
  <c r="I42" i="14"/>
  <c r="AT63" i="10"/>
  <c r="L62" i="1" s="1"/>
  <c r="F62" i="1"/>
  <c r="F12" i="1"/>
  <c r="AT12" i="10"/>
  <c r="L12" i="1" s="1"/>
  <c r="F45" i="14"/>
  <c r="D45" i="14"/>
  <c r="G45" i="14"/>
  <c r="K45" i="14"/>
  <c r="C45" i="14"/>
  <c r="M37" i="14"/>
  <c r="J45" i="14"/>
  <c r="H45" i="14"/>
  <c r="E45" i="14"/>
  <c r="I45" i="14"/>
  <c r="L82" i="1"/>
  <c r="L84" i="1" s="1"/>
  <c r="L123" i="1"/>
  <c r="AR37" i="7"/>
  <c r="C10" i="14"/>
  <c r="L92" i="1"/>
  <c r="L96" i="1" s="1"/>
  <c r="AR13" i="12"/>
  <c r="J190" i="1"/>
  <c r="AR43" i="11"/>
  <c r="H145" i="1"/>
  <c r="AL46" i="7"/>
  <c r="M96" i="1"/>
  <c r="M97" i="1" s="1"/>
  <c r="G133" i="1"/>
  <c r="G145" i="1" s="1"/>
  <c r="AV45" i="9"/>
  <c r="AN64" i="10"/>
  <c r="M63" i="1" s="1"/>
  <c r="AT61" i="10"/>
  <c r="F60" i="1"/>
  <c r="C12" i="14"/>
  <c r="M146" i="1"/>
  <c r="C42" i="14"/>
  <c r="F10" i="1"/>
  <c r="AT10" i="10"/>
  <c r="AN42" i="10"/>
  <c r="G154" i="1"/>
  <c r="G165" i="1" s="1"/>
  <c r="AN28" i="11"/>
  <c r="AS17" i="11"/>
  <c r="AT21" i="10"/>
  <c r="L25" i="1" s="1"/>
  <c r="F25" i="1"/>
  <c r="AT17" i="10"/>
  <c r="L17" i="1" s="1"/>
  <c r="F17" i="1"/>
  <c r="X88" i="10"/>
  <c r="E38" i="14" s="1"/>
  <c r="E42" i="14" s="1"/>
  <c r="L128" i="1"/>
  <c r="AW45" i="9"/>
  <c r="G188" i="1" s="1"/>
  <c r="L36" i="14"/>
  <c r="AR26" i="13"/>
  <c r="L47" i="14"/>
  <c r="I16" i="14"/>
  <c r="S179" i="1"/>
  <c r="E187" i="1"/>
  <c r="AM46" i="7"/>
  <c r="N145" i="1"/>
  <c r="BA18" i="9"/>
  <c r="L133" i="1" s="1"/>
  <c r="AS45" i="9"/>
  <c r="D9" i="14" l="1"/>
  <c r="G9" i="14"/>
  <c r="G18" i="14" s="1"/>
  <c r="J184" i="1"/>
  <c r="M85" i="1"/>
  <c r="C9" i="14"/>
  <c r="F63" i="1"/>
  <c r="AT87" i="10"/>
  <c r="S84" i="1" s="1"/>
  <c r="N84" i="1"/>
  <c r="N85" i="1" s="1"/>
  <c r="AO88" i="10"/>
  <c r="F189" i="1" s="1"/>
  <c r="D26" i="14" s="1"/>
  <c r="Q84" i="1"/>
  <c r="Q85" i="1" s="1"/>
  <c r="AR88" i="10"/>
  <c r="I189" i="1" s="1"/>
  <c r="K192" i="1"/>
  <c r="I29" i="14" s="1"/>
  <c r="AL28" i="13"/>
  <c r="C44" i="14"/>
  <c r="K44" i="14"/>
  <c r="D44" i="14"/>
  <c r="J44" i="14"/>
  <c r="G44" i="14"/>
  <c r="H44" i="14"/>
  <c r="F44" i="14"/>
  <c r="BA45" i="9"/>
  <c r="K188" i="1" s="1"/>
  <c r="I25" i="14" s="1"/>
  <c r="L154" i="1"/>
  <c r="L165" i="1" s="1"/>
  <c r="AS28" i="11"/>
  <c r="S165" i="1" s="1"/>
  <c r="D14" i="14"/>
  <c r="L10" i="1"/>
  <c r="L41" i="1" s="1"/>
  <c r="AT42" i="10"/>
  <c r="AT64" i="10"/>
  <c r="S63" i="1" s="1"/>
  <c r="L60" i="1"/>
  <c r="L63" i="1" s="1"/>
  <c r="F188" i="1"/>
  <c r="H184" i="1"/>
  <c r="E12" i="14"/>
  <c r="E18" i="14" s="1"/>
  <c r="O146" i="1"/>
  <c r="H27" i="14"/>
  <c r="H30" i="14" s="1"/>
  <c r="C58" i="14" s="1"/>
  <c r="J193" i="1"/>
  <c r="J194" i="1" s="1"/>
  <c r="I10" i="14"/>
  <c r="L145" i="1"/>
  <c r="L45" i="14"/>
  <c r="L99" i="1"/>
  <c r="L103" i="1" s="1"/>
  <c r="AS14" i="11"/>
  <c r="C24" i="14"/>
  <c r="E25" i="14"/>
  <c r="E30" i="14" s="1"/>
  <c r="C55" i="14" s="1"/>
  <c r="G193" i="1"/>
  <c r="BA46" i="9"/>
  <c r="AP47" i="9"/>
  <c r="E44" i="14"/>
  <c r="N165" i="1"/>
  <c r="N166" i="1" s="1"/>
  <c r="AN36" i="11"/>
  <c r="M41" i="1"/>
  <c r="AN88" i="10"/>
  <c r="E189" i="1" s="1"/>
  <c r="C26" i="14" s="1"/>
  <c r="F41" i="1"/>
  <c r="L38" i="14"/>
  <c r="C8" i="14"/>
  <c r="M64" i="1"/>
  <c r="D12" i="14"/>
  <c r="D18" i="14" s="1"/>
  <c r="N146" i="1"/>
  <c r="G184" i="1"/>
  <c r="AR16" i="12"/>
  <c r="S96" i="1"/>
  <c r="S97" i="1" s="1"/>
  <c r="AR44" i="7"/>
  <c r="K187" i="1" s="1"/>
  <c r="S145" i="1"/>
  <c r="S85" i="1"/>
  <c r="I9" i="14"/>
  <c r="I44" i="14"/>
  <c r="M103" i="1"/>
  <c r="M104" i="1" s="1"/>
  <c r="AM36" i="11"/>
  <c r="C11" i="14"/>
  <c r="H48" i="14"/>
  <c r="M40" i="14"/>
  <c r="C48" i="14"/>
  <c r="I48" i="14"/>
  <c r="K48" i="14"/>
  <c r="D48" i="14"/>
  <c r="J48" i="14"/>
  <c r="G48" i="14"/>
  <c r="F48" i="14"/>
  <c r="G26" i="14" l="1"/>
  <c r="G30" i="14" s="1"/>
  <c r="C57" i="14" s="1"/>
  <c r="I193" i="1"/>
  <c r="I194" i="1" s="1"/>
  <c r="I11" i="14"/>
  <c r="I12" i="14"/>
  <c r="S146" i="1"/>
  <c r="D25" i="14"/>
  <c r="S64" i="1"/>
  <c r="I8" i="14"/>
  <c r="AT88" i="10"/>
  <c r="S41" i="1"/>
  <c r="M36" i="14"/>
  <c r="L48" i="14"/>
  <c r="G198" i="1"/>
  <c r="M42" i="1"/>
  <c r="C7" i="14"/>
  <c r="C18" i="14" s="1"/>
  <c r="F184" i="1"/>
  <c r="AM37" i="11"/>
  <c r="AH40" i="11"/>
  <c r="E190" i="1"/>
  <c r="C27" i="14" s="1"/>
  <c r="M39" i="14" s="1"/>
  <c r="I24" i="14"/>
  <c r="K191" i="1"/>
  <c r="I28" i="14" s="1"/>
  <c r="AL18" i="12"/>
  <c r="D46" i="14"/>
  <c r="D50" i="14" s="1"/>
  <c r="I46" i="14"/>
  <c r="I50" i="14" s="1"/>
  <c r="J46" i="14"/>
  <c r="J50" i="14" s="1"/>
  <c r="H46" i="14"/>
  <c r="H50" i="14" s="1"/>
  <c r="F46" i="14"/>
  <c r="M38" i="14"/>
  <c r="K46" i="14"/>
  <c r="K50" i="14" s="1"/>
  <c r="G46" i="14"/>
  <c r="G50" i="14" s="1"/>
  <c r="C46" i="14"/>
  <c r="C50" i="14" s="1"/>
  <c r="AN43" i="11"/>
  <c r="F190" i="1"/>
  <c r="D27" i="14" s="1"/>
  <c r="E46" i="14"/>
  <c r="E50" i="14" s="1"/>
  <c r="E193" i="1"/>
  <c r="S103" i="1"/>
  <c r="S104" i="1" s="1"/>
  <c r="AS36" i="11"/>
  <c r="G194" i="1"/>
  <c r="AX47" i="9"/>
  <c r="I7" i="14"/>
  <c r="L184" i="1"/>
  <c r="S42" i="1"/>
  <c r="S166" i="1"/>
  <c r="I14" i="14"/>
  <c r="F50" i="14"/>
  <c r="L42" i="14"/>
  <c r="L44" i="14"/>
  <c r="G197" i="1" l="1"/>
  <c r="H198" i="1" s="1"/>
  <c r="E194" i="1"/>
  <c r="D30" i="14"/>
  <c r="C54" i="14" s="1"/>
  <c r="C30" i="14"/>
  <c r="M42" i="14" s="1"/>
  <c r="I18" i="14"/>
  <c r="AS43" i="11"/>
  <c r="AU38" i="11"/>
  <c r="G199" i="1" s="1"/>
  <c r="H199" i="1" s="1"/>
  <c r="K190" i="1"/>
  <c r="I27" i="14" s="1"/>
  <c r="L46" i="14"/>
  <c r="L50" i="14" s="1"/>
  <c r="K189" i="1"/>
  <c r="AN91" i="10"/>
  <c r="F193" i="1"/>
  <c r="F194" i="1" s="1"/>
  <c r="I26" i="14" l="1"/>
  <c r="I30" i="14" s="1"/>
  <c r="C59" i="14" s="1"/>
  <c r="K193" i="1"/>
  <c r="K194" i="1" s="1"/>
  <c r="G200" i="1"/>
  <c r="H200" i="1" s="1"/>
</calcChain>
</file>

<file path=xl/sharedStrings.xml><?xml version="1.0" encoding="utf-8"?>
<sst xmlns="http://schemas.openxmlformats.org/spreadsheetml/2006/main" count="1290" uniqueCount="718">
  <si>
    <t>Total</t>
  </si>
  <si>
    <t xml:space="preserve">Total </t>
  </si>
  <si>
    <t>4(1x2x3)</t>
  </si>
  <si>
    <t>a</t>
  </si>
  <si>
    <t>b</t>
  </si>
  <si>
    <t>c</t>
  </si>
  <si>
    <t>d</t>
  </si>
  <si>
    <t>e</t>
  </si>
  <si>
    <t>f</t>
  </si>
  <si>
    <t xml:space="preserve">Ndarja e buxhetit ne vite </t>
  </si>
  <si>
    <t>Viti 2015</t>
  </si>
  <si>
    <t>Viti 2016</t>
  </si>
  <si>
    <t>Viti 2017</t>
  </si>
  <si>
    <t>Viti 2018-2020</t>
  </si>
  <si>
    <t>1.1.1</t>
  </si>
  <si>
    <t>2.2.1</t>
  </si>
  <si>
    <t>2.1.1</t>
  </si>
  <si>
    <t>2.1.2</t>
  </si>
  <si>
    <t>2.2.2</t>
  </si>
  <si>
    <t>3.1.1</t>
  </si>
  <si>
    <t>3.1.2</t>
  </si>
  <si>
    <t>3.1.3</t>
  </si>
  <si>
    <t>3.2.1</t>
  </si>
  <si>
    <t>3.2.2</t>
  </si>
  <si>
    <t>4.1.1</t>
  </si>
  <si>
    <t>4.2.1</t>
  </si>
  <si>
    <t>4.2.2</t>
  </si>
  <si>
    <t>1.1.2</t>
  </si>
  <si>
    <t>1.1.3</t>
  </si>
  <si>
    <t>1.1.4</t>
  </si>
  <si>
    <t xml:space="preserve"> </t>
  </si>
  <si>
    <t>1.1.5</t>
  </si>
  <si>
    <t>1.2.1</t>
  </si>
  <si>
    <t>1.2.2</t>
  </si>
  <si>
    <t>1.2.3</t>
  </si>
  <si>
    <t>1.2.8</t>
  </si>
  <si>
    <t>1.3.1</t>
  </si>
  <si>
    <t>1.3.2</t>
  </si>
  <si>
    <t>1.3.3</t>
  </si>
  <si>
    <t>1.3.4</t>
  </si>
  <si>
    <t>1.3.5</t>
  </si>
  <si>
    <t>1.4.1</t>
  </si>
  <si>
    <t>1.4.2</t>
  </si>
  <si>
    <t>1.4.3</t>
  </si>
  <si>
    <t>1.5.1</t>
  </si>
  <si>
    <t>1.5.2</t>
  </si>
  <si>
    <t>2.1.3</t>
  </si>
  <si>
    <t>2.2.3</t>
  </si>
  <si>
    <t>2.3.1</t>
  </si>
  <si>
    <t>2.3.2</t>
  </si>
  <si>
    <t>2.4.1</t>
  </si>
  <si>
    <t>2.4.2</t>
  </si>
  <si>
    <t>2.4.3</t>
  </si>
  <si>
    <t>3.2.3</t>
  </si>
  <si>
    <t>3.2.4</t>
  </si>
  <si>
    <t>4.1.2</t>
  </si>
  <si>
    <t>4.3.1</t>
  </si>
  <si>
    <t>5.1.1</t>
  </si>
  <si>
    <t>5.1.2</t>
  </si>
  <si>
    <t>5.2.1</t>
  </si>
  <si>
    <t>5.3.1</t>
  </si>
  <si>
    <t>5.3.2</t>
  </si>
  <si>
    <t>5.4.1</t>
  </si>
  <si>
    <t>sqarime</t>
  </si>
  <si>
    <t>20 ministri, 20 persona/mini. 3 cikle 3 ditore trajnimi</t>
  </si>
  <si>
    <t>1 ekspert I huaj dhe 1 lokal</t>
  </si>
  <si>
    <t>1 ekspert I huaj dhe 1 lokal qe do bejne rishikimin e gjithe kuadrit institucional, urdheri , manuali I IPS prodhimi dhe botimi</t>
  </si>
  <si>
    <t xml:space="preserve">a. 1 retreat ne vit per Kabinetin e Qeverise (ministrat dhe KM) 
b. 1 retreat ne vit per Sekretaret e Pergjithshem
 </t>
  </si>
  <si>
    <t xml:space="preserve"> 2 trajnime ne vit me ML per IPS</t>
  </si>
  <si>
    <t xml:space="preserve">30 dokumenta strategjike: 5 eksperte lokale ( 1 TL + 4 eksperte). 20 dite per sektore ekpsertet. TL 50 dite me shume </t>
  </si>
  <si>
    <t>1 ekspert te huaj dhe 1 lokal per sektor</t>
  </si>
  <si>
    <t>5 persona te rinj, llogaritur si buxhet per 6 vjet</t>
  </si>
  <si>
    <t>6 vjet /3 ST per 10 persona. 1 ST 5 dite.</t>
  </si>
  <si>
    <t>1 ne vit 1 ditor</t>
  </si>
  <si>
    <t>Trajnime per stafet e Ministrive</t>
  </si>
  <si>
    <t>1.5.3</t>
  </si>
  <si>
    <t>Trajnim I vazhdueshem per stafin e ri te MF</t>
  </si>
  <si>
    <t>Trajnime per stafet e Ministrive . Te pakten 15 persona/ministri= 300 ne total</t>
  </si>
  <si>
    <t>a. hartimi I paketes se trajnimit 
b.trajnimi I stafeve (20 persona/ministri) + 30% te stafeve te reja potencialisht te hyra ne vit</t>
  </si>
  <si>
    <t>Trajnim per stafin e SPU</t>
  </si>
  <si>
    <t>Shqyrtimi I tyre ne 19 ministri. Hartimi I raportit dhe rekomandimeve</t>
  </si>
  <si>
    <t>Perfshihet trajnimi dhe coaching per menaxheret e larte gjate fazes se hartimit te PBA + Strategji</t>
  </si>
  <si>
    <t>2.3.3</t>
  </si>
  <si>
    <t>2.4.5</t>
  </si>
  <si>
    <t>2.5.1</t>
  </si>
  <si>
    <t>2.5.2</t>
  </si>
  <si>
    <t>2.5.3</t>
  </si>
  <si>
    <t>2.6.1</t>
  </si>
  <si>
    <t>2.6.2</t>
  </si>
  <si>
    <t>2.6.3</t>
  </si>
  <si>
    <t>2.7.1</t>
  </si>
  <si>
    <t>2.7.2</t>
  </si>
  <si>
    <t>1 exp huaj + 1 exc lokal</t>
  </si>
  <si>
    <t>3.1.4</t>
  </si>
  <si>
    <t>3.1.5</t>
  </si>
  <si>
    <t>3.1.6</t>
  </si>
  <si>
    <t>3.2.5</t>
  </si>
  <si>
    <t xml:space="preserve">rishikimi I kuadrit, metodologjise + hartimi dhe publikimi I manualit </t>
  </si>
  <si>
    <t>Trajnime + Study Tour</t>
  </si>
  <si>
    <t>10 persona /ML=400 . Trajnim 2 ditor/ per 3 vjet</t>
  </si>
  <si>
    <t>700000 TA</t>
  </si>
  <si>
    <t>6.8.1</t>
  </si>
  <si>
    <t>IPS 2</t>
  </si>
  <si>
    <t>6.8.2</t>
  </si>
  <si>
    <t>6.8.3</t>
  </si>
  <si>
    <t>6.8.4</t>
  </si>
  <si>
    <t>8.2 / 8.3 / 5.2</t>
  </si>
  <si>
    <t>1.1.6</t>
  </si>
  <si>
    <t>1.1.7</t>
  </si>
  <si>
    <t>1.1.8</t>
  </si>
  <si>
    <t>1.1.9</t>
  </si>
  <si>
    <t>1.1.10</t>
  </si>
  <si>
    <t>1.6.1</t>
  </si>
  <si>
    <t>1.8.1</t>
  </si>
  <si>
    <t>1.8.2</t>
  </si>
  <si>
    <t>1.1.11</t>
  </si>
  <si>
    <t>1.1.12</t>
  </si>
  <si>
    <t>1.1.13</t>
  </si>
  <si>
    <t>1.8.3</t>
  </si>
  <si>
    <t>1.8.4</t>
  </si>
  <si>
    <t>2.2.2.</t>
  </si>
  <si>
    <t>3.3.1</t>
  </si>
  <si>
    <t>3.3.2</t>
  </si>
  <si>
    <t>3.3.3</t>
  </si>
  <si>
    <t>3.3.4</t>
  </si>
  <si>
    <t>3.4.1</t>
  </si>
  <si>
    <t>3.4.2</t>
  </si>
  <si>
    <t>3.4.3</t>
  </si>
  <si>
    <t>3.4.4</t>
  </si>
  <si>
    <t>8.1.1</t>
  </si>
  <si>
    <t>8.1.2</t>
  </si>
  <si>
    <t>8.2.1</t>
  </si>
  <si>
    <t>8.3.1</t>
  </si>
  <si>
    <t>9.1.1</t>
  </si>
  <si>
    <t>9.2.1</t>
  </si>
  <si>
    <t>9.2.2</t>
  </si>
  <si>
    <t>9.2.3</t>
  </si>
  <si>
    <t>9.3.1</t>
  </si>
  <si>
    <t>4.1.3</t>
  </si>
  <si>
    <t>6.5.1</t>
  </si>
  <si>
    <t>6.5.2</t>
  </si>
  <si>
    <t>6.5.3</t>
  </si>
  <si>
    <t>6.5.4</t>
  </si>
  <si>
    <t>6.6.1</t>
  </si>
  <si>
    <t>6.6.2</t>
  </si>
  <si>
    <t>6.7.1</t>
  </si>
  <si>
    <t>6.7.2</t>
  </si>
  <si>
    <t>6.9.1</t>
  </si>
  <si>
    <t>6.9.2</t>
  </si>
  <si>
    <t>6.9.3</t>
  </si>
  <si>
    <t>6.9.4</t>
  </si>
  <si>
    <t>6.9.5</t>
  </si>
  <si>
    <t>6.9.6</t>
  </si>
  <si>
    <t>6.9.7</t>
  </si>
  <si>
    <t>6.9.8</t>
  </si>
  <si>
    <t>6.9.9</t>
  </si>
  <si>
    <t>6.10.1</t>
  </si>
  <si>
    <t>6.10.2</t>
  </si>
  <si>
    <t>6.10.3</t>
  </si>
  <si>
    <t>6.10.4</t>
  </si>
  <si>
    <t>6.10.5</t>
  </si>
  <si>
    <t>6.10.6</t>
  </si>
  <si>
    <t>6.10.7</t>
  </si>
  <si>
    <t>6.10.8</t>
  </si>
  <si>
    <t>6.10.9</t>
  </si>
  <si>
    <t>10.1.1</t>
  </si>
  <si>
    <t>10.1.2</t>
  </si>
  <si>
    <t>10.2.1</t>
  </si>
  <si>
    <t>10.2.2</t>
  </si>
  <si>
    <t>4.3.2</t>
  </si>
  <si>
    <t>6.2.1</t>
  </si>
  <si>
    <t>6.2.2</t>
  </si>
  <si>
    <t>6.4.2</t>
  </si>
  <si>
    <t>6.4.1</t>
  </si>
  <si>
    <t>6.3.1</t>
  </si>
  <si>
    <t>2.3.4</t>
  </si>
  <si>
    <t>5.2.2</t>
  </si>
  <si>
    <t>5.2.3</t>
  </si>
  <si>
    <t>7.1.1</t>
  </si>
  <si>
    <t>7.1.2</t>
  </si>
  <si>
    <t>7.2.1</t>
  </si>
  <si>
    <t>7.3.1</t>
  </si>
  <si>
    <t>8.4.1</t>
  </si>
  <si>
    <t>8.4.2</t>
  </si>
  <si>
    <t>8.5.1</t>
  </si>
  <si>
    <t>8.6.1</t>
  </si>
  <si>
    <t>8.6.2</t>
  </si>
  <si>
    <t>8.6.3</t>
  </si>
  <si>
    <t>8.7.1</t>
  </si>
  <si>
    <t>8.7.2</t>
  </si>
  <si>
    <t>6.2.3</t>
  </si>
  <si>
    <t>6.1.6</t>
  </si>
  <si>
    <t>11.1.1</t>
  </si>
  <si>
    <t>11.2.1</t>
  </si>
  <si>
    <t>11.3.1</t>
  </si>
  <si>
    <t>4.3.3</t>
  </si>
  <si>
    <t>4.3.4</t>
  </si>
  <si>
    <t>4.1.4</t>
  </si>
  <si>
    <t>UNDP</t>
  </si>
  <si>
    <t>Innovation</t>
  </si>
  <si>
    <t>1.7.1</t>
  </si>
  <si>
    <t>1.7.2</t>
  </si>
  <si>
    <t>1.7.3</t>
  </si>
  <si>
    <t>3.1.7</t>
  </si>
  <si>
    <t>3.1.8</t>
  </si>
  <si>
    <t>3.1.9</t>
  </si>
  <si>
    <t>3.1.10</t>
  </si>
  <si>
    <t>3.4.5</t>
  </si>
  <si>
    <t>3.4.6</t>
  </si>
  <si>
    <t>3.3.5</t>
  </si>
  <si>
    <t>6.8.5</t>
  </si>
  <si>
    <t>5.2.5</t>
  </si>
  <si>
    <t>6.5.1.1</t>
  </si>
  <si>
    <t>6.5.1.2</t>
  </si>
  <si>
    <t>Action</t>
  </si>
  <si>
    <t xml:space="preserve">Office supplies </t>
  </si>
  <si>
    <t>Financial gap</t>
  </si>
  <si>
    <t>NAIS</t>
  </si>
  <si>
    <t>Total according to MIPA estimation</t>
  </si>
  <si>
    <t>Salaries</t>
  </si>
  <si>
    <t>Maintenance</t>
  </si>
  <si>
    <t>Difference</t>
  </si>
  <si>
    <t>Actions</t>
  </si>
  <si>
    <t>Total cost of Objective 1</t>
  </si>
  <si>
    <t xml:space="preserve">Innovation </t>
  </si>
  <si>
    <t>mailto:sigmaweb@oecd.org</t>
  </si>
  <si>
    <t xml:space="preserve">2 Rue André Pascal 75775 Paris Cedex 16 France </t>
  </si>
  <si>
    <t xml:space="preserve">Tel: +33 (0) 1 45 24 82 00 www.sigmaweb.org </t>
  </si>
  <si>
    <t xml:space="preserve">Manuel pour la préparation, la mise en œuvre, </t>
  </si>
  <si>
    <t>de la RAP et des stratégies sectorielles</t>
  </si>
  <si>
    <t>Conseils pour les partenaires de SIGMA</t>
  </si>
  <si>
    <t xml:space="preserve"> Annexe 4 : Partie II</t>
  </si>
  <si>
    <t>Ce document est produit avec le soutien financier de l’Union européenne (UE). Il ne doit pas être présenté comme exprimant les vues officielles de l’UE, de l’OCDE ou de ses pays membres, ou des pays partenaires participant au Programme SIGMA. Les opinions exprimées et les arguments employés sont ceux des auteurs. 
© OECD 2018 – L'utilisation de ce matériel, sous forme numérique ou imprimée, est régie par les Termes et conditions disponibles sur la page du site Internet de l'OCDE http://www.oecd.org/termsandconditions.</t>
  </si>
  <si>
    <t xml:space="preserve">Ce document, ainsi que les données et les cartes géographiques qu'il contient, ne préjugent pas du statut ou de la souveraineté sur un quelconque territoire, de la délimitation des frontières et limites internationales et du nom d'un territoire, d'une ville ou d'une région, quelles qu'elles soient. 
</t>
  </si>
  <si>
    <t>© OECD 2018 – L'utilisation de ce matériel, sous forme numérique ou imprimée, est régie par les Termes et conditions disponibles sur la page du site Internet de l'OCDE http://www.oecd.org/termsandconditions.</t>
  </si>
  <si>
    <t>Calcul et présentation des coûts</t>
  </si>
  <si>
    <t xml:space="preserve"> des actions et activités </t>
  </si>
  <si>
    <t>Exemple de chiffrage - Albanie</t>
  </si>
  <si>
    <t xml:space="preserve">Tableau de l'analyse résumée du chiffrage de la Stratégie transversale de réforme de l'administration publique </t>
  </si>
  <si>
    <t xml:space="preserve">Tableau 1 : Répartition des fonds par objectif </t>
  </si>
  <si>
    <t>Objectifs</t>
  </si>
  <si>
    <t xml:space="preserve">Objectif 1 </t>
  </si>
  <si>
    <t>Objectif 2</t>
  </si>
  <si>
    <t>Objectif 3</t>
  </si>
  <si>
    <t>Objectif 4</t>
  </si>
  <si>
    <t>Objectif 5</t>
  </si>
  <si>
    <t>Objectif 6</t>
  </si>
  <si>
    <t>Objectif 7</t>
  </si>
  <si>
    <t>Objectif 8</t>
  </si>
  <si>
    <t>Objectif 9</t>
  </si>
  <si>
    <t>Objectif 10</t>
  </si>
  <si>
    <t>Objectif 11</t>
  </si>
  <si>
    <t>Coût potentiel total</t>
  </si>
  <si>
    <t>Budget de l'État</t>
  </si>
  <si>
    <t>UE (IAP)</t>
  </si>
  <si>
    <t>Donneurs (CdE +)</t>
  </si>
  <si>
    <t>Banque mondiale</t>
  </si>
  <si>
    <t>PNUD</t>
  </si>
  <si>
    <t>Écart budgétaire</t>
  </si>
  <si>
    <t>Tableau 2 : Répartition des fonds par domaine</t>
  </si>
  <si>
    <t>Écart financier</t>
  </si>
  <si>
    <t xml:space="preserve">Fonction publique et ressources humaines </t>
  </si>
  <si>
    <t>École albanaise d'administration publique</t>
  </si>
  <si>
    <t>Élaboration des politiques, législation et suivi</t>
  </si>
  <si>
    <t>Administration locale</t>
  </si>
  <si>
    <t xml:space="preserve">Transparence et  A/C </t>
  </si>
  <si>
    <t xml:space="preserve">Tableau 3 : Répartition par poste de dépenses </t>
  </si>
  <si>
    <t>Dépenses par poste en EURO</t>
  </si>
  <si>
    <t xml:space="preserve">Fonds de rémunération pour le personnel supplémentaire  </t>
  </si>
  <si>
    <t xml:space="preserve">Dépenses pour les conférences/séminaires et la formation   </t>
  </si>
  <si>
    <t>Expertise (locale et étrangère)</t>
  </si>
  <si>
    <t xml:space="preserve">Dépenses d'information publique (publications)   </t>
  </si>
  <si>
    <t>Immeubles</t>
  </si>
  <si>
    <t>Logiciels informatiques</t>
  </si>
  <si>
    <t>Équipement informatique</t>
  </si>
  <si>
    <t>Fournitures de bureau</t>
  </si>
  <si>
    <t>Autres dépenses et entretien</t>
  </si>
  <si>
    <t>En part spécifique</t>
  </si>
  <si>
    <t xml:space="preserve">Transparence et A/C </t>
  </si>
  <si>
    <t>Sources de financement</t>
  </si>
  <si>
    <t>Tableau : Sources de financement</t>
  </si>
  <si>
    <t>Donneurs (CdE+)</t>
  </si>
  <si>
    <t xml:space="preserve">Tableau 1 : Estimation du coût de la Stratégie transversale de réforme de l'administration publique </t>
  </si>
  <si>
    <t>N°</t>
  </si>
  <si>
    <t>Activités/Indicateurs</t>
  </si>
  <si>
    <t>Explications</t>
  </si>
  <si>
    <t>Budget de l'État (PBMT 2015-2017)</t>
  </si>
  <si>
    <t>IAP</t>
  </si>
  <si>
    <t>BM</t>
  </si>
  <si>
    <t xml:space="preserve">Sources de financement (par réalisation) </t>
  </si>
  <si>
    <t>Objectif 1 - Amélioration de la planification et de la coordination des politiques de préparation des documents stratégiques du gouvernement, qui transforment les priorités en actions concrètes.</t>
  </si>
  <si>
    <t xml:space="preserve">Numéro </t>
  </si>
  <si>
    <t>Indicateurs de réalisation</t>
  </si>
  <si>
    <t>Activité avec/sans coût additionnel</t>
  </si>
  <si>
    <t>Dépenses de la catégorie économique "Rémunérations et salaires" : (Code 600-601)</t>
  </si>
  <si>
    <t xml:space="preserve">Fonds de rémunération pour le personnel supplémentaire </t>
  </si>
  <si>
    <t>Salaire moyen</t>
  </si>
  <si>
    <t>Mois</t>
  </si>
  <si>
    <t>Valeur totale</t>
  </si>
  <si>
    <t>Nb d'activités de formation/séminaires</t>
  </si>
  <si>
    <t>Jour/activité</t>
  </si>
  <si>
    <t>Participants à la formation</t>
  </si>
  <si>
    <t>Location de salle/jour</t>
  </si>
  <si>
    <t>Coût pour une personne (café/restauration)</t>
  </si>
  <si>
    <t xml:space="preserve">Coût moyen d'hébergement/nuit </t>
  </si>
  <si>
    <t>Services de conseil divers (assistance technique)</t>
  </si>
  <si>
    <t>Expertise locale</t>
  </si>
  <si>
    <t>Expertise étrangère</t>
  </si>
  <si>
    <t xml:space="preserve">Dépenses d'information publique (publications)  </t>
  </si>
  <si>
    <t>Jour/expert</t>
  </si>
  <si>
    <t>Honoraires</t>
  </si>
  <si>
    <t>Article/activité</t>
  </si>
  <si>
    <t>Prix/valeur par unité</t>
  </si>
  <si>
    <t xml:space="preserve">Investissements </t>
  </si>
  <si>
    <t>Développement de logiciels</t>
  </si>
  <si>
    <t xml:space="preserve">Pièce </t>
  </si>
  <si>
    <t>Prix moyen/unité</t>
  </si>
  <si>
    <t>Pièce</t>
  </si>
  <si>
    <t xml:space="preserve">Fournitures de bureau </t>
  </si>
  <si>
    <t>Autres dépenses</t>
  </si>
  <si>
    <t xml:space="preserve">Coût estimé de la réalisation </t>
  </si>
  <si>
    <t>Sources de financement (par réalisation)</t>
  </si>
  <si>
    <t>CDE</t>
  </si>
  <si>
    <t>4.1. Mener une étude pour examiner les fonctions et l'organisation interne des institutions de l'administration aux niveaux central et local :</t>
  </si>
  <si>
    <t>4.2. Mener des interventions juridiques dans les actes constitutif des institutions subordonnées et les agences ministérielles, réviser les organigrammes et les descriptions de postes, et relocaliser les nouveaux sièges selon les entités territoriales.</t>
  </si>
  <si>
    <t>Étude et analyse du transfert des fonctions de l'État vers le marché privé de la prestation de services.</t>
  </si>
  <si>
    <t>Évaluation (inventaire) des nouvelles unités de ressources humaines au niveau national.</t>
  </si>
  <si>
    <t xml:space="preserve">Création d'un cadre fonctionnel pour les relations entre les ministères et leurs institutions subordonnées.  </t>
  </si>
  <si>
    <t>Manuel de procédures pour les procédures administratives et le système de gestion des documents dans les ministères sectoriels (IAP A.1.5).</t>
  </si>
  <si>
    <t xml:space="preserve">Examen du cadre juridique pertinent. </t>
  </si>
  <si>
    <t>Examen fonctionnel des institutions et adaptation à la nouvelle division territoriale.</t>
  </si>
  <si>
    <t xml:space="preserve">Objectif 6 : Amélioration des capacités de mise en œuvre de la législation sur la fonction publique et simplification des méthodes d'éxécution.
</t>
  </si>
  <si>
    <t>6.1. Évaluation des capacités en ressources humaines pour la mise en oeuvre de la Loi sur la fonction publique dans les institutions nouvellement constituées et renforcement des compétences pour mettre en oeuvre des procédures uniformes.</t>
  </si>
  <si>
    <t>Renforcement des capacités de planification des ressources humaines dans les institutions de l'administration publique</t>
  </si>
  <si>
    <t>Activité 1.5</t>
  </si>
  <si>
    <t>Jumelage A.1.1.5</t>
  </si>
  <si>
    <t>Sans coût additionnel</t>
  </si>
  <si>
    <t>Renforcement des capacités du Département de l'Administration publique (DAP) pour mener la stratégie de réforme de la fonction publique :</t>
  </si>
  <si>
    <t>Étude de la capacité des structures menée par le DAP</t>
  </si>
  <si>
    <t xml:space="preserve">L'évaluation du respect de la nouvelle Loi sur la fonction publique concernant les structures actuelles de gestion et de contrôle.  </t>
  </si>
  <si>
    <t>La méthodologie de la planification à long terme des ressources humaines.</t>
  </si>
  <si>
    <t>Programme de formation spécifique pour la planification à long terme des ressources humaines.</t>
  </si>
  <si>
    <t>Après la rédaction de la méthodologie</t>
  </si>
  <si>
    <t>Formations fournies par les programmes de l'EAAP.</t>
  </si>
  <si>
    <t>La création de mécanismes de renforcement de la coopération entre le CFP et les institutions de l'administraiton publique (IAP A.2.3).</t>
  </si>
  <si>
    <t>Renforcement des capacités du CFP (partiellement IAP A.2.4).</t>
  </si>
  <si>
    <t xml:space="preserve"> Mise en place d'un système pour créer les bases de données avec des questions préparées et l'utilisation de systèmes électroniques d'évaluation pour les procédures d'examen en cas de recrutement dans la fonction publique (2017)</t>
  </si>
  <si>
    <t xml:space="preserve">Mise en place de la plateforme du système. </t>
  </si>
  <si>
    <t>Banque de questions pour l'examen dirigé (pour 10 disciplines).</t>
  </si>
  <si>
    <t>Systèmes de quesitons testés</t>
  </si>
  <si>
    <t>Système d'examen automatique élaboré (pour 15 disciplines).</t>
  </si>
  <si>
    <t>Formation du personnel des ministères pour utiliser les formulaires standard (4 formations X 20 personnes/formation X 3 jours de formation).</t>
  </si>
  <si>
    <t xml:space="preserve">Système de suivi élaboré </t>
  </si>
  <si>
    <t xml:space="preserve"> Publication annuelle, sur le site internet du DAP, de l'ensemble d'indicateurs liés à la gestion des ressources humaines dans la fonction publique. (Chaque année, à partir de 2015) </t>
  </si>
  <si>
    <t xml:space="preserve">Finalisation du SIGRH et exécution du plan de mise en œuvre  </t>
  </si>
  <si>
    <t>Rapports de suivi publiés</t>
  </si>
  <si>
    <t>Adaptation et activation des modules et interopérabilité et implémentation du SIGRH.</t>
  </si>
  <si>
    <t>Formation de 500 personnels de GRH (Total 20 formation ; 3jours de formation x 25 personnes/formation).</t>
  </si>
  <si>
    <t>Analyse des systèmes de fonctionnement du SIGRH accomplie.</t>
  </si>
  <si>
    <t>Maintenance du système (50 personnes formées tous les 2 ans - nouveaux spécialistes GRH).</t>
  </si>
  <si>
    <t>La mise en place d'un système pour l'avancement professionnel dans la fonction publique (IAP A.1.4).</t>
  </si>
  <si>
    <t>Adoption de nouvelles décisions sur les rémunérations et mise en œuvre de la nouvelle structure (2020)</t>
  </si>
  <si>
    <t xml:space="preserve">Projet de stratégie élaboré. </t>
  </si>
  <si>
    <t xml:space="preserve">Nouvelle structure de rémunérations adoptée. </t>
  </si>
  <si>
    <t>Nouvelle classification des salaires et amendement de la loi sur les taux salariaux.</t>
  </si>
  <si>
    <t>Le coût sera déterminé après l'achèvement de l'étude et l'approbation de la nouvelle stratégie.</t>
  </si>
  <si>
    <t>Tableau 1 : Estimation du coût de la Stratégie transversale de réforme de l'administration publique - EAAP</t>
  </si>
  <si>
    <t>Numéro</t>
  </si>
  <si>
    <t>L'objectif et le but de la Stratégie</t>
  </si>
  <si>
    <t>Nb</t>
  </si>
  <si>
    <t>Valeur matériel/personne</t>
  </si>
  <si>
    <t>Honoraires du formateur/jour</t>
  </si>
  <si>
    <t xml:space="preserve">Autres dépenses </t>
  </si>
  <si>
    <t>Dotation budgétaire au cours des années</t>
  </si>
  <si>
    <t>Coût estimé de l'activité</t>
  </si>
  <si>
    <t xml:space="preserve">Identification régulières des besoins en formation grâce à une analyse de ces besoins.  </t>
  </si>
  <si>
    <t xml:space="preserve">Mise à jour et développement du groupe de formateurs spécialisés - Ceci sera réalisé par une mise à jour continue de la base de données d'experts potentiels et par un programme de développement professionnel sur le lieu de travail. </t>
  </si>
  <si>
    <t xml:space="preserve">Les besoins spécifiques en termes de formation et les groupes cibles sont identifiés </t>
  </si>
  <si>
    <t>Changement du pourcentage représentant les programmes à contenu européen de 35 % à 50 % entre 2015 et 2020.</t>
  </si>
  <si>
    <t>Base de données préparée et pleinement opérationnelle</t>
  </si>
  <si>
    <t>Le programme de développement a été préparé au sein de l'institution.</t>
  </si>
  <si>
    <t xml:space="preserve">Le programme de développement est mis en œuvre dans 5 institutions au moins. </t>
  </si>
  <si>
    <t>Coût additionnel</t>
  </si>
  <si>
    <t xml:space="preserve">Réponse aux besoins de formation en augmentation constante de la fonction publique albanaise. L'augmentation du nombre de fonctionnaires est un facteur qui aura un impact sur les demandes de formation au sein de la fonction publique. </t>
  </si>
  <si>
    <t xml:space="preserve">Rédaction de plans annuels pour la formation des cadres moyens et supérieurs - sur la base du modèle de leadership. </t>
  </si>
  <si>
    <t xml:space="preserve">Évaluation d'approches alternatives concernant la formation des cadres, y compris l'approche fondée sur les compétences. </t>
  </si>
  <si>
    <t>Développement de la plateforme d'apprentissage et de formation en ligne et rédaction de programmes utilisant cette plateforme.</t>
  </si>
  <si>
    <t xml:space="preserve">Les fonctionnaires sont formés et évalués à l'essai dans l'administration centrale </t>
  </si>
  <si>
    <t>Plans de formation obligatoire pendant la période d'essai.</t>
  </si>
  <si>
    <t>Le plan et le calendrier des formations obligatoires pendant la période d'essai selon les emplois dans la fonction publique sont rédigés.</t>
  </si>
  <si>
    <t>Les fonctionnaires sont formés et évalués à l'essai dans l'administration locale</t>
  </si>
  <si>
    <t>Les cours de formation sont préparés pour les cadres moyens.</t>
  </si>
  <si>
    <t>Le plan annuel de formation pour les cadres supérieurs est rédigé.</t>
  </si>
  <si>
    <t xml:space="preserve">Les cours de formation sont préparés pour les cadres supérieurs </t>
  </si>
  <si>
    <t>Recherches sur les approches alternatives</t>
  </si>
  <si>
    <t>Effectuer des visites d'études dans des ministères, 3 institutions/écoles (3 visites, 2 personnes, 5 jours)</t>
  </si>
  <si>
    <t xml:space="preserve">Mener une étude de faisabilité pour la mise en œuvre de la plateforme </t>
  </si>
  <si>
    <t xml:space="preserve">Développement de la plateforme dans l'EAAP et pilotage de 3 cours de formation </t>
  </si>
  <si>
    <t xml:space="preserve">Exécution de 30 % du curriculum de formation par la plateforme d'apprentissage en ligne </t>
  </si>
  <si>
    <t xml:space="preserve">Amélioration du système de retours en général, afin de fournir des données suffisantes et une information disponible sur l'impact des formations. </t>
  </si>
  <si>
    <t xml:space="preserve">La méthodologie et les quesitonnaires pour mesurer l'impact de la formation sont préparés. </t>
  </si>
  <si>
    <t>Les procédures et réglementations sont révisées et adaptées conformément au modèle fondé sur le client.</t>
  </si>
  <si>
    <t>Des objectifs de satisfaction de l'usager sont définis pour tous les cours de formation.</t>
  </si>
  <si>
    <t>Des évaluations indépendantes et objectives sont régulièrement menées (au moins une tous les deux ans).</t>
  </si>
  <si>
    <t>Établissement de contacts avec des agences professionnelles et des agences de contrôle de la qualité pour l'éducation/la formation.</t>
  </si>
  <si>
    <t>Élaboration de systèmes et de procédures qui répondent aux normes de contrôle de la qualité établies par les agences de contrôle de l'éducation/la formation.</t>
  </si>
  <si>
    <t xml:space="preserve">Œuvrer pour atteindre le statut de centre d'excellence aux niveaux national et international. </t>
  </si>
  <si>
    <t>La recherche a été menée et le statut de membre d'au moins deux réseaux internationaux est atteint.</t>
  </si>
  <si>
    <t>Des activités et conférences internationales ont été suivies.</t>
  </si>
  <si>
    <t xml:space="preserve">Les systèmes et procédures de contrôle de la qualité établis par les agences et les universités nationales et internationales ont été préparés. </t>
  </si>
  <si>
    <t>Des protocoles d'entente et des accords d'habilitation ont été conclus.</t>
  </si>
  <si>
    <t>L'habilitation nationale et internationale est atteinte.</t>
  </si>
  <si>
    <t>Frais d'habilitation</t>
  </si>
  <si>
    <t xml:space="preserve">Renforcement des capacités et compétences internes, et de la gestion des ressources de l'EAAP.  </t>
  </si>
  <si>
    <t xml:space="preserve">Le développement de systèmes qui garantissent que toutes les ressources sont gérées de façon efficace et efficiente, pour un coût minimal. </t>
  </si>
  <si>
    <t xml:space="preserve">Développement de la bibliothèque de l'EAAP et préparation d'un centre de gestion de l'information. </t>
  </si>
  <si>
    <t>Veiller à ce que les locaux de l'EAAP soient dans un immeuble qui convienne à cet effet.</t>
  </si>
  <si>
    <t>Évaluation de la situation actuelle en la reliant à un Plan d'affaires et à un modèle choisi pour l'analyse de l'organisation.</t>
  </si>
  <si>
    <t>Définir le cycle de gestion qui doit se répéter au moins chaque année.</t>
  </si>
  <si>
    <t>Un système moderne de gestion de l'information a été créé.</t>
  </si>
  <si>
    <t>SIGRH</t>
  </si>
  <si>
    <t>La bibliothèque de l'EAAP s'est développée et transformée en un centre de gestion de l'information.</t>
  </si>
  <si>
    <t>Le matériel et l'équipement informatique nécessaire a été acheté pour établir le centre de gestion de l'information.</t>
  </si>
  <si>
    <t>Une reconstruction complète a été menée et l'immeuble a reçu les équipement nécessaires pour mener les activités.</t>
  </si>
  <si>
    <t>Tableau 1 : Estimation du coût de la Stratégie transversale de réforme de l'administration publique - Élaboration des politiques, Suivi &amp; Législation</t>
  </si>
  <si>
    <t xml:space="preserve">Dépenses de fournitures et de services  </t>
  </si>
  <si>
    <t xml:space="preserve">Autres dépenses (frais accessoires &amp; impévus) </t>
  </si>
  <si>
    <t>Coût estimé de la réalisation</t>
  </si>
  <si>
    <t>Contributions</t>
  </si>
  <si>
    <t>CdE</t>
  </si>
  <si>
    <t xml:space="preserve">Assistance technique </t>
  </si>
  <si>
    <t>Assistance technique</t>
  </si>
  <si>
    <t xml:space="preserve">Au moins 10 documents stratégiques </t>
  </si>
  <si>
    <t>pour 19 ministres</t>
  </si>
  <si>
    <t>La budgétisation de cette activité est dans le cadre de la stratégie de GFP</t>
  </si>
  <si>
    <t xml:space="preserve">Pas de coût </t>
  </si>
  <si>
    <t>Formation par l'EAAP</t>
  </si>
  <si>
    <t>Analyse de l'évaluation de la situation</t>
  </si>
  <si>
    <t xml:space="preserve">Révision du cadre réglementaire pour les stratégies sectorielles et transversales (Révision de l'Ordre sur la préparation des stratégies sectorielles et transversales) </t>
  </si>
  <si>
    <t>Assistance au fonctionnement du projet pilote de GPGI (eau, social, compétitivité)</t>
  </si>
  <si>
    <t>Assistance au fonctionnement des autres GPGI</t>
  </si>
  <si>
    <t xml:space="preserve">Mise en œuvre du programme de formation pour tout le personnel responsable de l'élaboration des politiques dans les ministères sectoriels (départements d'élaboration et de coordination des politiques) </t>
  </si>
  <si>
    <t xml:space="preserve">Préparation de stratégies et documents transversaux </t>
  </si>
  <si>
    <t xml:space="preserve">Préparation des Plans de gestion intégrée (PGI) des ministères sectoriels </t>
  </si>
  <si>
    <t>Publication des PGI</t>
  </si>
  <si>
    <t>Préparation du cadre réglementaire pour la rédaction des stratégies sectorielles et transversales, et des documents stratégiques sectoriels 2015-2020, dans le cadre de la NSDI (Stratégie nationale pour l'intégration et le développement) 2015-2020.</t>
  </si>
  <si>
    <t>Préparation d'analyses sectorielles et transversales de la mise en œuvre à moyen terme (phase 2014/15-2016)</t>
  </si>
  <si>
    <t>Mise en œuvre du nouveau système et renforcement des compétences</t>
  </si>
  <si>
    <t>Recrutement de personnel</t>
  </si>
  <si>
    <t>Formation et séminaires avec le personnel du Département de la programmation et du financement du développement et de l'aide étrangère.</t>
  </si>
  <si>
    <t xml:space="preserve">Voyages d'études pour comprendre les pratiques et expériences d'autres pays. </t>
  </si>
  <si>
    <t>1.5.Renforcement des compétences dans les institutions centrales, après avoir évalué les besoins concernant la planification stratégique et la planification des politiques publiques (ainsi que l'utilisation du SPI et du système d'information du SPI).</t>
  </si>
  <si>
    <t>Mise en place du SISPI</t>
  </si>
  <si>
    <t>Formation du personnel des institutions centrales concernant la gestion et la maintenance du SISPI.</t>
  </si>
  <si>
    <t>1.6. Mise en place du SIMFA (Système d'information du ministère des Finances albanais) et renforcement des compétences en gestion du contrôle financier.</t>
  </si>
  <si>
    <t xml:space="preserve">Renforcement des compétences du MdF pour la gestion du SIMFA. </t>
  </si>
  <si>
    <t>1.6. Renforcement des compétences de l'administration centrale pour la rédaction du PBMT (Programme budgétaire à moyen terme).</t>
  </si>
  <si>
    <t xml:space="preserve">Renforcement des compétences des institutions en lien avec le Programme budgétaire à moyen terme. </t>
  </si>
  <si>
    <t>Renforcement des compétences des ministères sectoriels en termes de rédaction des politiques, des stratégies, des plans d'action et des programmes de développement.</t>
  </si>
  <si>
    <t xml:space="preserve">Renforcement des compétences des unités chargées de l'élaboration des politiques pour garantir une bonne direction et de bons conseils pour la rédaction et le suivi des documents stratégiques. </t>
  </si>
  <si>
    <t xml:space="preserve">Évaluation de la situation en termes de fonctionnement des Groupes de gestion stratégique (GGS) </t>
  </si>
  <si>
    <t>Modification du cadre légal et institutionnel approprié pour le fonctionnement des GGS.</t>
  </si>
  <si>
    <t xml:space="preserve">Préparation du programme de formation pour les cadres supérieurs en lien avec le cycle de gestion des politiques publiques. </t>
  </si>
  <si>
    <t xml:space="preserve">Renforcement des compétences des cadres supérieurs des ministères sectoriels par la mise en oeuvre du programme de formation sur le cycle de gestion des politiques publiques.  </t>
  </si>
  <si>
    <t>Objectif 1 : Améliorer la planification et la coordination des politiques de préparation des documents stratégiques du gouvernement, qui transforment les priorités en actions concrètes.</t>
  </si>
  <si>
    <t>Préparation d'une analyse de l'évaluation de la situaiton</t>
  </si>
  <si>
    <t>Paquet législatif sur la rédaction des lois (projets de lois et de règlements)</t>
  </si>
  <si>
    <t xml:space="preserve">Critères plus stricts pour les postes impliqués dans le processus législatif. </t>
  </si>
  <si>
    <t xml:space="preserve">8.3. Mise en place d'une étude sur les possibilités de prestation directe des services : </t>
  </si>
  <si>
    <t xml:space="preserve">Rédaction d'un manuel/protocole de travail pour la consultation des actes. </t>
  </si>
  <si>
    <t>Veiller à la mise en œuvre de la Loi sur la communication et la consultation publique et la compléter par des règlements :</t>
  </si>
  <si>
    <t xml:space="preserve">Adoption de règlements pour faciliter la procédure de consultation. </t>
  </si>
  <si>
    <t xml:space="preserve"> Création d'une base de données des parties prenantes </t>
  </si>
  <si>
    <t>Formation des personnes responsables des consultations.</t>
  </si>
  <si>
    <t xml:space="preserve">et X AIR menées/essayées sous la loi adoptée (projets dans X institutions pour X questions). </t>
  </si>
  <si>
    <t xml:space="preserve">Assistance technique locale pour saisir les actes dans 19 ministères (2 experts juridiques pour chaque ministère).  </t>
  </si>
  <si>
    <t>Formation en rédaction législative pour les ministères sectoriels</t>
  </si>
  <si>
    <t>Formation en rédaction législative pour les institutions indépendantes</t>
  </si>
  <si>
    <t>Total Objectif 2</t>
  </si>
  <si>
    <t>Évaluation de la situation actuelle concernant le système de suivi et d'évaluation utilisé par le gouvernement, y compris l'institution chargée des ces fonctions, les ressources humaines disponibles et les nesoins en renforcement des compétences, la méthodologie utilisée et le cadre réglementaire en vigueur.</t>
  </si>
  <si>
    <t xml:space="preserve">Analyse de l'évaluation de la situation actuelle concernant le suivi des stratégies sectorielles et transversales  </t>
  </si>
  <si>
    <t>Analyse de l'évaluation du cadre juridique actuel et de la méthodologie de S &amp;E</t>
  </si>
  <si>
    <t xml:space="preserve">Analyse de l'évaluation des besoins en formation pour les structures de S &amp;E. </t>
  </si>
  <si>
    <t xml:space="preserve">Formation du personnel des Unités de suivi du Bureau du Premier ministre et des ministères sectoriels </t>
  </si>
  <si>
    <t>1 expert étranger + 1 local</t>
  </si>
  <si>
    <t>Cette activité ne peut être chiffrée qu'après l'achèvement du TNA</t>
  </si>
  <si>
    <t xml:space="preserve">Publication de rapports annuels des ministères sectoriels sur la mise en œuvre des stratégies sectorielles/transversales respectives, de la NSDI, ainsi que du DPFDDAE. </t>
  </si>
  <si>
    <t xml:space="preserve">Révision des structures des ministères en vue de la mise en œuvre sur système de S &amp; E </t>
  </si>
  <si>
    <t xml:space="preserve">Mise en place d'un réseau de S &amp; E et renforcement des compétences (formation) </t>
  </si>
  <si>
    <t xml:space="preserve">Renforcement des compétences des ministères sectoriels pour établir les rapports EMP  </t>
  </si>
  <si>
    <t xml:space="preserve">Renforcement des compétences du DPFDDAE concernant la rédaction des rapports de synthèse annuels sur la mise en œuvre du cadre stratégique (ToT) </t>
  </si>
  <si>
    <t>1 expert étranger</t>
  </si>
  <si>
    <t>Utilisation des sytèmes de suivi électronique par les institutions gouvernementales :</t>
  </si>
  <si>
    <t xml:space="preserve">Système d'actes électroniques (système de suivi du processus de rédaction législative) </t>
  </si>
  <si>
    <t>Système électronique de suivi de la mise en œuvre du Programme du gouvernement</t>
  </si>
  <si>
    <t>Système électronique de suivi du flux d'information et de correspondance</t>
  </si>
  <si>
    <t xml:space="preserve">Système électronique de suivi intégré "The watchtower" ("La Tour de contrôle"). </t>
  </si>
  <si>
    <r>
      <t xml:space="preserve">Formation selon </t>
    </r>
    <r>
      <rPr>
        <sz val="8"/>
        <color rgb="FF00B0F0"/>
        <rFont val="Arial"/>
        <family val="2"/>
      </rPr>
      <t>l'évaluation des besoins en technologie (TNA)</t>
    </r>
  </si>
  <si>
    <r>
      <t xml:space="preserve">19 ministères sectoriels + </t>
    </r>
    <r>
      <rPr>
        <sz val="8"/>
        <color rgb="FF00B0F0"/>
        <rFont val="Arial"/>
        <family val="2"/>
      </rPr>
      <t>CoM</t>
    </r>
    <r>
      <rPr>
        <sz val="8"/>
        <rFont val="Arial"/>
        <family val="2"/>
      </rPr>
      <t>. 2 jours/ministère. 5 jours pour rédiger l'analyse + 2 jours pour ajouter les commentaires + 6(3+3) jours pour établir les rapports.  (approx. 60 jours de travail pour un expert étranger)</t>
    </r>
  </si>
  <si>
    <r>
      <t xml:space="preserve">19 ministères sectoriels + </t>
    </r>
    <r>
      <rPr>
        <sz val="8"/>
        <color rgb="FF00B0F0"/>
        <rFont val="Arial"/>
        <family val="2"/>
      </rPr>
      <t xml:space="preserve">CoM. </t>
    </r>
    <r>
      <rPr>
        <sz val="8"/>
        <rFont val="Arial"/>
        <family val="2"/>
      </rPr>
      <t xml:space="preserve">1,5 jours/ministère. 5 jours pour rédiger l'analyse + 2 jours pour ajouter les commentaires + 10 jours de programme de formation + 3 jours pour établir les rapports.  (approx. 45 jours de travail pour un expert étranger) </t>
    </r>
  </si>
  <si>
    <t xml:space="preserve">Total Objectif 3 </t>
  </si>
  <si>
    <t>Activités pour mener l'action</t>
  </si>
  <si>
    <t xml:space="preserve">Correspondance avec les nouveaux numéros des activités de la Stratégie de réforme transversale de l'administration publique </t>
  </si>
  <si>
    <t>Objectif 5 : Améliorer et concentrer les services publics en réduisant les causes de corruption et en renforçant une éthique civique pour la prestation des services publics.</t>
  </si>
  <si>
    <t>Mise en place de centres de prestation de services sous la forme de guichets uniques :</t>
  </si>
  <si>
    <t xml:space="preserve">Stratégie de prestation des services publics </t>
  </si>
  <si>
    <t xml:space="preserve">Mise en place de l'ADISA (Agence pour la prestation de services intégrés) et ouverture de 4 centres pilotes  </t>
  </si>
  <si>
    <t xml:space="preserve">Création des infrastructures physiques des guichets uniques et de leur fonctionnement </t>
  </si>
  <si>
    <t>Changement des structures administratives sur la base de l'Étude pour la réorganisation des institutions publiques</t>
  </si>
  <si>
    <t>Objectif 8 : Procédure simplifiée pour la prestation des services par la promotion de la communication avec le public et l'évitement de la corruption.</t>
  </si>
  <si>
    <t>Restructuration des services publics comme mesure nécessaire pour la simplification des procédures administratives et la réduction du nombre de msures effectuées par les citoyens et le personnel de soutien :</t>
  </si>
  <si>
    <t>Restructuration des services publics - Identification, évaluation et définition des procédures standard pour 300+ services publics</t>
  </si>
  <si>
    <t>Rédaction de manuels pour la réglementation des procédures de service ;</t>
  </si>
  <si>
    <t>Réorganisation des services qui seront fournis par les guichets uniques en organisant les relations entre le guichet unique et le bureau de soutien.</t>
  </si>
  <si>
    <t>Étude de faisabilité pour le modèle de services centrés sur les citoyens.</t>
  </si>
  <si>
    <t>Examen général de la législation applicable à la prestation de services publics afin de refléter la restructuration des processus opérationnel dans le cadre réglementaire :</t>
  </si>
  <si>
    <t>Identification des macro secteurs nécessitant des changements (Analyses des lacunes juridiques).</t>
  </si>
  <si>
    <t>Garantir la valeur légale des documents électroniques imprimés.</t>
  </si>
  <si>
    <t>300 personnes</t>
  </si>
  <si>
    <t>Préparation de programmes de formation.</t>
  </si>
  <si>
    <t>Renforcement des compétences du personnel impliqué dans la restructuration des procédures et dans la prestation de services publics.</t>
  </si>
  <si>
    <t>9.1. Numérisation des registres principaux.</t>
  </si>
  <si>
    <t xml:space="preserve">Étude de l'analyse de la situation des principaux registres </t>
  </si>
  <si>
    <t xml:space="preserve"> 9.2. Élaboration et utilisation d'un système intégré de TIC (fondé sur les exigences du processus de restructuration des services) ;</t>
  </si>
  <si>
    <t>Préparation d'un système intégré de TIC (fondé sur les exigences du processus de restructuration des services) ;</t>
  </si>
  <si>
    <t xml:space="preserve">Développement et consolidation du système ; Documents pour la formation des utilisateurs ; </t>
  </si>
  <si>
    <t xml:space="preserve"> Sessions de formation générale  (2017)</t>
  </si>
  <si>
    <t>Sessions de formaiton pour les utilisateurs du système de TIC (2017)</t>
  </si>
  <si>
    <t>9.3. Création d'un mécanisme pour que les citoyens qui contrôleront la qualité des services fournissent directement leur opinion par SMS, pour les destinaitaires du service uniquement :</t>
  </si>
  <si>
    <t xml:space="preserve">Élaboration d'un système permettant de rapporter les réactions des citoyens et de suivre les plaintes pour toutes les catégories de services fournis par l'administration.  </t>
  </si>
  <si>
    <t>Stratégie transversale de réforme de l'administration publique- Tableau de chiffrage des activités liées à la décentralisation</t>
  </si>
  <si>
    <t xml:space="preserve">Objectif 4 : Renforcer les structures de l'administration publique afin d'améliorer la prestation de services au public.
</t>
  </si>
  <si>
    <t>Préparation de la liste des fonctions des Unités gouvernementales locales (UGL), du modèle structurel de l'organisation des municipalités, de la classification des postes et de la mise en oeuvre d'un programme de formation pour les UGL (IAP A 1.6)</t>
  </si>
  <si>
    <t>61 nouvelles UGL x 3 employés = 180 personnes à former.</t>
  </si>
  <si>
    <t>CdE au total 250 000</t>
  </si>
  <si>
    <t xml:space="preserve">Conception du modèle du nouveau dispositif des UGL et aide à la mise en place des nouveaux dispositifs (assistance pratique).
</t>
  </si>
  <si>
    <t>Renforcement des compétences des unités de gestion des ressources humaines des nouvelles municipalités (15 000 euros).</t>
  </si>
  <si>
    <t>61 municipalités x 2 personnes dans chaque municipalité = 122 personnes au total</t>
  </si>
  <si>
    <t>Standardisation des procédures de gestion des RH dans toutes les UGL (IAP A 1.2)</t>
  </si>
  <si>
    <t xml:space="preserve">Objectif 5 : Améliorer et concentrer les services publics en réduisant les causes de corruption et en renforçant une éthique civique pour la prestation des services publics.
</t>
  </si>
  <si>
    <t xml:space="preserve">Mise en place de guichets uniques pour les services administratifs au niveau local. </t>
  </si>
  <si>
    <t>Pas de coût</t>
  </si>
  <si>
    <t>Manuel et voyage d'études pour 8 personnes, et formation pour environ 20 ministères + Parlement + Bureau du Président (environ 45 au total).</t>
  </si>
  <si>
    <t xml:space="preserve"> Objectif 6 : Amélioration des capacités de mise en œuvre de la législation sur la fonction publique et simplification des procédures d'application.
</t>
  </si>
  <si>
    <t>Pas de coût (à inclure dans le coût de l'examen)</t>
  </si>
  <si>
    <t>Préparation d'un large programme de formation sur le nouveau Code de procédure administrative :</t>
  </si>
  <si>
    <t>Mise en œuvre du programme de renforcement des compétences pour les ministères sectoriels et les UGL, en ce qui concerne l'application du Code de procédure administrative (IAP A.1.1)</t>
  </si>
  <si>
    <t>Développement des projets pilotes de délégation de prise de décisions.</t>
  </si>
  <si>
    <t xml:space="preserve">Objectif 11 : Renforcement du contrôle sur les activités de l'admnistration publique, garantissant le droit des citoyens et l'accès à l'information. </t>
  </si>
  <si>
    <t>Mise en œuvre du programme de transparence institutionnelle par les autorités publiques.</t>
  </si>
  <si>
    <t>Utilisation des TIC pour renforcer la transparence des activités de l'administration.</t>
  </si>
  <si>
    <t>Développement d'un programme de contrôle de l'application des normes (IAP A.2.1)</t>
  </si>
  <si>
    <t>PAS DE COÛT</t>
  </si>
  <si>
    <t>Renforcement des compétences dans le Département de la programmation et du financement du développement et de l'aide étrangère (DPFDDAE) concernant la planification stratégique et la planification des politiques publiques , sur la base d'une évaluation des besoins en formation.</t>
  </si>
  <si>
    <t>Renforcement des compétences dans les institutions centrales, après avoir évalué les besoins concernant la planification stratégique et la planification des politiques publiques (ainsi que l'utilisation du SPI et du système d'information du SPI).</t>
  </si>
  <si>
    <t>Renforcement des compétences de l'administration centrale pour la rédaction du PBMT (Programme budgétaire à moyen terme).</t>
  </si>
  <si>
    <t xml:space="preserve">La valeur du SIMFA n'est pas inclue, car elle est comprise dans la Stratégie de GFP comme activité budgétisée. </t>
  </si>
  <si>
    <t>Renforcement des compétences et amélioration du fonctionnement du Groupe de gesiton stratégique comme strucutre de coordination au sein de chaque ministère.</t>
  </si>
  <si>
    <t>Coût total de l'objectif 2</t>
  </si>
  <si>
    <t>Étude d'évaluation du système de rémunérations</t>
  </si>
  <si>
    <t>Utilisation des sytèmes de suivi électronique par les institutions gouvernementales.</t>
  </si>
  <si>
    <t xml:space="preserve">Le coût de la construction du système ne peut être déterminé qu'après l'analyse des fonctions qui doit être menée par la NAIS (Agence nationale sur la société de l'information). </t>
  </si>
  <si>
    <t>Coût total de l'Objectif 3</t>
  </si>
  <si>
    <t>Objectif 4 : Renforcer les structures de l'administration publique afin d'améliorer la prestation de services au public.</t>
  </si>
  <si>
    <t>Mener une étude pour examiner les fonctions et l'organisation interne des institutions de l'administration aux niveaux central et local.</t>
  </si>
  <si>
    <t xml:space="preserve">Objectif 4 : Renforcer les structures de l'administration publique afin d'améliorer la prestation de services aux citoyens.
</t>
  </si>
  <si>
    <t>Coût total de l'Objectif 4</t>
  </si>
  <si>
    <t>Coût total de l'Objectif 5</t>
  </si>
  <si>
    <t>Coût total de l'Objectif 6</t>
  </si>
  <si>
    <t>Coût total de l'Objectif 7</t>
  </si>
  <si>
    <t>Coût total de l'Objectif 8</t>
  </si>
  <si>
    <t>Coût total de l'Objectif 9</t>
  </si>
  <si>
    <t>Coût total de l'Objectif 10</t>
  </si>
  <si>
    <t>Coût total de l'Objectif 11</t>
  </si>
  <si>
    <t>Mise en place de centres de prestation de services sous la forme de guichets uniques.</t>
  </si>
  <si>
    <t xml:space="preserve">Objectif 6 : Amélioration des capacités de mise en œuvre de la législation sur la fonction publique et simplification des procédures d'éxécution. </t>
  </si>
  <si>
    <t>Fonctionnement du Commissaire à la fonction publique</t>
  </si>
  <si>
    <t>Création de bases de données avec des questions préparées et utilisation de systèmes électroniques d'évaluation pour les procédures d'examen en cas de recrutement.</t>
  </si>
  <si>
    <t>Objectif 10 : Renforcement de l'efficience et de la responsabilité des fonctionnaires.</t>
  </si>
  <si>
    <t>Étude d'évaluation pour 17 systèmes (2 experts locaux et 5 experts étrangers).</t>
  </si>
  <si>
    <t>Simplification et formattage des étapes et procédures liées aux ressources humaines dans l'administration publique, par l'utilisation de modèles ou formulaires standard (2017)</t>
  </si>
  <si>
    <t>Création des conditions et des procédures pour appliquer la transparence et l'objectivité de la promotion professionnelle dans la fonction publique.</t>
  </si>
  <si>
    <t xml:space="preserve">Transition d'une culture du contrôle des ressources dans la fonction publique à un modèle moderne de prestation de service axée sur la demande du client. </t>
  </si>
  <si>
    <t xml:space="preserve">Mise à jour de la base de données des "clients" de l'EAAP </t>
  </si>
  <si>
    <t>Mise en place de groupes de discussion avec les directeurs des ressources humaines des ministères et des institutions de l'administration centrale.</t>
  </si>
  <si>
    <t xml:space="preserve">Mise en place de groupes de discussion avec les directeurs des ressources humaines des administrations locales et des institutions indépendantes. </t>
  </si>
  <si>
    <t>Transformation ien centre d'excellence pour la formation de la fonction publique et du secteur public, aux niveaux international et national.</t>
  </si>
  <si>
    <t xml:space="preserve">Développement d'un système moderne de gestion de la base de données dans le cadre du SIGRH. </t>
  </si>
  <si>
    <t xml:space="preserve">Objectif 7 : Organisation du système de rémunération de la fonction publique sur la base de l'évaluation des postes, de l'évaluation des résultats annuels des fonctionnaires et des résultats des formations professionnelles obligatoires. 
</t>
  </si>
  <si>
    <t xml:space="preserve">Objectif 7 : Organisation du système de rémunération de la fonction publique sur la base de l'évaluation des postes, de l'évaluation des résultats annuels des fonctionnaires et des résultats des formations professionnelles obligatoires. </t>
  </si>
  <si>
    <t>Adoption de nouvelles décisions sur les rémunérations et mise en œuvre de la nouvelle structure.</t>
  </si>
  <si>
    <t>transversal</t>
  </si>
  <si>
    <t>Décharger les institutions de l'administration publique de la fonction de prestation directe de services.</t>
  </si>
  <si>
    <t>Mener l'étude sur la réorganisation des institutions publiques.</t>
  </si>
  <si>
    <t>Achèvement de l'Étude sur la consolidation de l'analyse de la situation initiale (référence).</t>
  </si>
  <si>
    <t>Examen général de la législation applicable à la prestation de services publics afin de refléter la restructuration des processus opérationnel dans le cadre réglementaire.</t>
  </si>
  <si>
    <t>Numérisation des registres principaux.</t>
  </si>
  <si>
    <t>Rédaction de manuels et des formulaires standard pour assurer le service d'une manière unifiée et codifiée.</t>
  </si>
  <si>
    <t>Élaboration et utilisation d'un système intégré de TIC (fondé sur les exigences du processus de restructuration des services).</t>
  </si>
  <si>
    <t>Création d'un mécanisme pour que les citoyens qui contrôleront la qualité des services fournissent directement leur opinion par SMS, pour les destinaitaires du service uniquement.</t>
  </si>
  <si>
    <t>Élaboration d'un mécanisme d'évaluationpour contrôler la mise en application cohérente et homogène des normes dans l'administration publique.</t>
  </si>
  <si>
    <t>FP&amp;GRH</t>
  </si>
  <si>
    <t>EAAP</t>
  </si>
  <si>
    <t>Élaboration&amp;Suivi des politiques</t>
  </si>
  <si>
    <t>Décentralisation</t>
  </si>
  <si>
    <t>Transparence et Anti-corruption</t>
  </si>
  <si>
    <t>Écart</t>
  </si>
  <si>
    <t>Financement gouvernemental</t>
  </si>
  <si>
    <t>Contributions des donneurs</t>
  </si>
  <si>
    <t>Déficit de financement</t>
  </si>
  <si>
    <t xml:space="preserve">Révision du fonctionnement d'autres groupes transversaux dans les GPGI (groupes de politiques de gestion intégrée) (y compris tout le cycle d'élaboration des politiques - mise en oeuvre - suivi) </t>
  </si>
  <si>
    <t xml:space="preserve">Analyse à moyen terme de la mise en œuvre de la SNID 2014-2020 </t>
  </si>
  <si>
    <t>Révision à moyen terme des stratégies et documents stratégiques de la SNID 2014-2020</t>
  </si>
  <si>
    <t xml:space="preserve">Renforcement des compétences des ministères sectoriels par la mise en œuvre du Programme de formation pour la planification stratégique.  </t>
  </si>
  <si>
    <t xml:space="preserve">             le suivi, le reporting et l'évaluation </t>
  </si>
  <si>
    <t>Préparation du cadre réglementaire pour la rédaction des stratégies sectorielles et transversales, et des documents stratégiques sectoriels 2015-2020, dans le cadre de la SNID (Stratégie nationale pour l'intégration et le développement) 2015-2020.</t>
  </si>
  <si>
    <t>Évaluation de la situation et du cadre réglementaire actuels pour préparer des stratégies sectorielles et transversales complémentaires des compétences des parties prenantes impliquées dans le processus (Unités centrales du Bureau du Premier ministre et unités des institutions centrales).</t>
  </si>
  <si>
    <t>Evaluation des défis auxquels est actuellement confronté le processus de rédaction des lois</t>
  </si>
  <si>
    <t>Rédaction de manuels de technique d'élaboration des lois et réglements et d'un manuel de rédaction des textes juridiques</t>
  </si>
  <si>
    <t>Pas de surcoût</t>
  </si>
  <si>
    <t>Evaluation systématique des failles législatives facilitant la corruption (protection contre la corruption)</t>
  </si>
  <si>
    <t>Veiller à la mise en œuvre de la loi sur la communication et la concertation publiques et la compléter par des décrets</t>
  </si>
  <si>
    <t>Amélioration des compétences des services chargés de la rédaction legislative et des services centraux responsables du suivi</t>
  </si>
  <si>
    <t>Amélioration de la procédure de réalisation des études d'impact obligatoires et des évaluations du respect de l'acquis. Meilleure prise en compte par la réglementation des politiques publiques menées dans le pays.</t>
  </si>
  <si>
    <t>Amélioration de la transparence de la publicité des lois</t>
  </si>
  <si>
    <t>Projet d'analyse évaluative de la situation</t>
  </si>
  <si>
    <t>Analyse des personnels en termes d'emploi, d'organigrammes et de fiches de poste</t>
  </si>
  <si>
    <t>Rédaction de fiches de poste claires</t>
  </si>
  <si>
    <t xml:space="preserve">Objectif 2 : Système transparent et exhaustif de rédaction législative, fondé sur les politiques publiques et garantissant la conformité avec l'acquis  </t>
  </si>
  <si>
    <t>Le coût de la  formation sera déterminé après achèvement de l'activité 6.2.2</t>
  </si>
  <si>
    <t>Le coût de la  formation sera déterminé après achèvement de l'activité 6.2.3</t>
  </si>
  <si>
    <t xml:space="preserve">Objectif 10 : Renforcement de l'efficience et de la responsabilité des fonctionnaires. </t>
  </si>
  <si>
    <t>Objectif 9 : Développement d'une infrastructure de TIC capable de soutenir les activités quotidiennes de l'administration publique et d'amélioer le rendement en réduisnt le délai pour accéder aux informations, les traiter et les transmettre tout en améliorant le flux d'informations.</t>
  </si>
  <si>
    <t>Objectif 11 : Renforcement du contrôle sur les activités de l'admnistration publique, garantissant les droits des citoyens et l'accès à l'information.</t>
  </si>
  <si>
    <t>Généraliser les délégations à l'ensemble de l'administration publique"</t>
  </si>
  <si>
    <t>Objectif 3 : Création d'un système efficace de suivi et d'évaluation des stratégies, programmes et cadre juridique en vigueur, sur la base des éléments suivants : 1) recueil de données par un procédé neutre et transparent pour la rédaciton et l'élaboration des stratégies, programmes et lois, et 2) préparation d'une analyse pour évaluer les effets induits par la mise en oeuvre.</t>
  </si>
  <si>
    <t>Évaluation de la situation actuelle concernant le système de suivi et d'évaluation utilisé par le gouvernement, y compris l'institution chargée des ces fonctions, les ressources humaines disponibles et les besoins en renforcement des compétences, la méthodologie utilisée et le cadre réglementaire en vigueur.</t>
  </si>
  <si>
    <t>Le coût de la formation sera déterminé après achèvement de l'activité 3.2.3</t>
  </si>
  <si>
    <t>Coûts des déplacements à estimer</t>
  </si>
  <si>
    <t>Objectif 2 : Système transparent et exhaustif de rédaction des lois, fondé sur les politiques, et garantissant la conformité avec l'acquis communautaire.</t>
  </si>
  <si>
    <t>Objectif 2 : Système transparent et exhaustif de rédaction législative, fondé sur les politiques publiques et garantissant la conformité avec l'acquis communautaire.</t>
  </si>
  <si>
    <t>Intégration du manuel sur la prévention de la corruption.</t>
  </si>
  <si>
    <t>Elaboration d'une méthodologie d'analyse de la législation aux fins de détecter les failles facilitant la corruption.</t>
  </si>
  <si>
    <t>Evaluation systématique des failles législatives facilitant la corruption (protection contre la corruption).</t>
  </si>
  <si>
    <t>Révision de l'examen d'admission pendant le recrutement pour y inclure des questions spécifiques concernant l'évaluation de la probité.</t>
  </si>
  <si>
    <t>Évaluation de la probité lors de l'évaluation annuelle de performance.</t>
  </si>
  <si>
    <t xml:space="preserve">Utilisation systématique des procédures de contrôle de laprobité (contrôle de l'intégrité).  </t>
  </si>
  <si>
    <t>10.2. Généraliser les délégations de compétences aux institutions, afin d'accroître la responsabilité des fonctionnaires :</t>
  </si>
  <si>
    <t>Étendre le processus de délégation à l'intégralité de l'administration publique.</t>
  </si>
  <si>
    <t>L'estimation réelle du coût aura lieu après l'achèvement des projets pilotes. Le coût fixé n'est qu'indicatif.</t>
  </si>
  <si>
    <t>Soutien méthodologique à l'organisation et au fonctionnement des nouvelles entités administratives du pays et renforcement des compétences concernant la mise en œuvre.</t>
  </si>
  <si>
    <t>61 municipalités, 322 unités locales.</t>
  </si>
  <si>
    <t>Adaptation au modèle du guichet unique de la configuration des institutions qui fournissent des services publics :</t>
  </si>
  <si>
    <t>Réorganisation des services fournis par les guichets uniques en structurant les relations entre le guichet unique et le bureau de soutien.</t>
  </si>
  <si>
    <t>Formulaires de services unifiés et codifiés (services unifiés totalement codifiés en 2015, tous les services en 2017).</t>
  </si>
  <si>
    <t>Propositions de modifications juridiques et administratives.</t>
  </si>
  <si>
    <t>Finalisation des modifications institutionnelles et administratives</t>
  </si>
  <si>
    <t>Validation des modifications apportées au cadre juridique</t>
  </si>
  <si>
    <t>Objectif 9 : Développement d'une infrastructure de TIC capable de soutenir les activités quotidiennes de l'administration publique et les augmentations de rendement en réduisant le délai pour accéder aux informations, les traiter et les transmettre tout en améliorant le flux d'informations.</t>
  </si>
  <si>
    <t>1.1.Évaluation de la situation et du cadre réglementaire actuels pour préparer des stratégies sectorielles et transversales complémentaire des compétences des parties prenantes impliquées dans le processus (Unités centrales du Bureau du Premier ministre et unités des institutions centrales).</t>
  </si>
  <si>
    <t xml:space="preserve">Préparation d'un programme de formation pour l'ensemble du personnel responsable de l'élaboration des politiques dans les ministères sectoriels (départements d'élaboration et de coordination des politiques), pour la rédaction des documents et politiques stratégiques. </t>
  </si>
  <si>
    <t>1.3. Examen du système de planification intégrée après avoir mené une analyse de l'évaluation de la situation et des cadres institutionnels existants.</t>
  </si>
  <si>
    <t xml:space="preserve">Examen du cadre institutionnel et légal pertinent (rédaction d'un nouvel Ordre, Manuel de SPI, et examen du calendrier annuel du SPI) </t>
  </si>
  <si>
    <t>Formation de formateurs (FdF). 2 formations par année</t>
  </si>
  <si>
    <t>1.4. Renforcement des compétences dans le Département de la programmation et du financement du développement et de l'aide étrangère (DPFDDAE) concernant la planification stratégique et la planification des politiques publiques , basée sur l'évaluation préalable des besoins en formation.</t>
  </si>
  <si>
    <t>Renforcement des compétences des institutions utilisant le SIMFA, et rédaction des rapports de suivi pertinents.</t>
  </si>
  <si>
    <t>1.9.Renforcement des compétences et amélioration du fonctionnement du Groupe de gestion stratégique comme strucutre de coordination au sein de chaque ministère et des Groupes transversaux dans le cadre des Groupes de politique de gestion intégrée.</t>
  </si>
  <si>
    <t>2.1. Evaluation des défis auxquels est actuellement confronté le processus de rédaction des lois  :</t>
  </si>
  <si>
    <t>2.2. Accélération de la mise en oeuvre du manuel de rédaction des lois en la promouvant au niveau d'une décision du Conseil des ministres afin de garantir son entrée en vigueur.</t>
  </si>
  <si>
    <t>Analyse de la situation actuelle des personnels en termes d'emploi, d'organisgrammes et de fiches de poste.</t>
  </si>
  <si>
    <t>Rédaction de fiches de postes plus claires.</t>
  </si>
  <si>
    <t xml:space="preserve">Rédaction d'un manuel/d'un protocole de travail pour la consultation des actes. </t>
  </si>
  <si>
    <t>Amélioration de la procédure de réalisation des études d'impact obligatoires et des évaluations du respect de l'acquis. Meilleure prise en compte par la réglementation des politiques publiquesmenées dans le pays :</t>
  </si>
  <si>
    <t>Analyse du degré de compréhension des impacts estimés des actes.</t>
  </si>
  <si>
    <t>Loi sur l'AIR adoptée, rendant obligatoire l'analyse en question.</t>
  </si>
  <si>
    <t>Formation en rédaction législative pour les services centraux</t>
  </si>
  <si>
    <t>Obligation (Instruction) du service officiel des publications de publier les lois consolidées.</t>
  </si>
  <si>
    <t xml:space="preserve">Chaque institution devra avoir posté les lois consolidées sur son site internet en 2015. </t>
  </si>
  <si>
    <t>Amélioration des compétences des services chargés de la rédaction législative et des services centraux responsables du suivi :</t>
  </si>
  <si>
    <t>Amélioration de la transparence de la publication de la législation :</t>
  </si>
  <si>
    <t>Objectif 3 : Création d'un système efficace de suivi et d'évaluation des stratégies, des programmes et du cadre juridique en vigueur, sur la base des éléments suivants : 1) recueil de données de façon neutre et transparente pour élaborer les stratégies, les programmes et les lois, et 2) préparation d'une analyse pour évaluer les impacts de la mise en oeuvre.</t>
  </si>
  <si>
    <t xml:space="preserve">Examen de la base juridique permettant le suivi des stratégies sectorielles et transversales </t>
  </si>
  <si>
    <t>Analyse de l'évaluation de la situation existante en matière de suivi et d'évaluation (S &amp;E) (structures et ressources humaines)</t>
  </si>
  <si>
    <t>Création et amélioration du système de suivi et d'évaluation du Gouvernement albanais par la réforme du cadre réglementaire en vigueur, une révision fonctionnelle des unités responsables du suivi et de l'évaluation dans les institutions centrales et le renforcement des compétences du personnel de ces institutions, mais aussi des unités centrales de suivi du Bureau du Premier ministre, par la mise en place d'un réseau de suivi et d'évaluation efficace.</t>
  </si>
  <si>
    <t>Rédaction d'un nouveau cadre juridique pour le système de suivi et d'évaluation.</t>
  </si>
  <si>
    <t>Manuel sur le suivi des stratégies sectorielles/transversales (EMP) et Manuel de formation pour l'administration (FdF)</t>
  </si>
  <si>
    <t>Elaboration de la méthodologie de suivi et d'évaluation :</t>
  </si>
  <si>
    <t xml:space="preserve">Elabroation de la méthodologie de suivi et d'évaluation pour le Programme du gouvernement   </t>
  </si>
  <si>
    <t>Elabroation de la méthodologie de suivi et d'évaluation de la mise en application des lois</t>
  </si>
  <si>
    <t xml:space="preserve">Réalisation dans les unités et les programmes d'une série d'activités mises à jour pour refléter les exigences et besoins nouveaux engendrés pa la Loi sur la fonction publique. </t>
  </si>
  <si>
    <t>Le programme de formation (cours de base et spécialisés) est rédigé et est approuvé avec les objectifs du programme, les objectifs pédagogiques et les critères d'évaluation.</t>
  </si>
  <si>
    <t>Les cours sont organisés en fonction des besoins</t>
  </si>
  <si>
    <t xml:space="preserve">Augmentation du nombre de programmes de formation concernant l'intégration européenne.  </t>
  </si>
  <si>
    <t xml:space="preserve">Offre de formation pour répondre à la demande croissante d'experts et de formations, créée par le statut de pays candidat attribué à l'Albanie. </t>
  </si>
  <si>
    <t>Sans surcoût</t>
  </si>
  <si>
    <t xml:space="preserve">Finalisation du modèle de développement professionnel tout au long de la vie dans la fonction publique. </t>
  </si>
  <si>
    <t xml:space="preserve">Mise en place de groupes bénéficiaires du service (groupes d'usagers) et/ou de groupes de discussion afin de fournir des retours sur la qualité et l'utilité des services fournis par l'EAAP. </t>
  </si>
  <si>
    <t>Elaboration d'un document stratégique sur le système de rémunération et l'adoption de la nouvelle structure de rémunérations (2017)</t>
  </si>
  <si>
    <t>Examen des ratios entre les rémunérations moyennes maximum et minimum dans l'administration publique, afin de maintenir une pyramide des salaires objective et la motivation des postes de direction, ainsi que la diversification de la classification selon le contenu des postes.</t>
  </si>
  <si>
    <t>Coût estimé des réalisations</t>
  </si>
  <si>
    <t>Systèmes de questions testés</t>
  </si>
  <si>
    <t>Fonctionnement du Commissariat à la fonction publique.</t>
  </si>
  <si>
    <t>Amélioration des compétences du Département de l'Administration publique (DAP) pour mener la stratégie de réforme de la fonction publique.</t>
  </si>
  <si>
    <t>Amélioration des compétences de planification des ressources humaines dans les institutions de l'administration publique.</t>
  </si>
  <si>
    <t>Remanier le contenu juridique des actes constitutifs des institutions subordonnées et des agences ministérielles, examiner les organigrammes et les fiches de postes, et l'impantation des nouveaux sièges en fonction des entités territoriales.</t>
  </si>
  <si>
    <t>Elaboration de la méthodologie de suivi et d'évaluation.</t>
  </si>
  <si>
    <t>Adaptation au modèle du guichet unique de la configuration des institutions qui fournissent des services publics.</t>
  </si>
  <si>
    <t>Elaboration et publication régulière d'un ensemble d'indicateurs pour suivre la réforme de la fonction publique.</t>
  </si>
  <si>
    <t xml:space="preserve">Utilisation systématique des procédures de contrôle de la probité (contrôle de la probité).  </t>
  </si>
  <si>
    <t>Simplifier et rationaliser les étapes et les procédures relatives aux RH dans la FP en utilisant des modèles ou des fomulaires standard.</t>
  </si>
  <si>
    <t>Finalisation de la mise en service du Système d'information de la gestion des ressources humaines et utilisation à grande échelle par les institutions.</t>
  </si>
  <si>
    <t xml:space="preserve"> Amélioration continue des enseignements dispensés aux fonctionnaires par  l'École albanaise d'administration publique et de ses activités d'études et de recherches en administration publique.</t>
  </si>
  <si>
    <t>Elaboration et adoption d'un document stratégique sur le système de rémunération et sur l'adoption de la nouvelle structure de rémunérations.</t>
  </si>
  <si>
    <t>Révision des ratios entre les rémunérations moyennes maximum et minimum dans l'administration publique, afin de maintenir une pyramide des salaires objective et de préserver l'attractivité des postes de direction, et de conserver une classification differencié selon le contenu des postes.</t>
  </si>
  <si>
    <t>Le coût sera déterminé après achèvement de l'étude et approbation de la nouvelle stratégie.</t>
  </si>
  <si>
    <t>Restructuration des services publics comme mesure préalable à la simplification des procédures administratives et à la réduction du nombre de msures effectuées par les citoyens et le personnel de soutien.</t>
  </si>
  <si>
    <t>Préparation d'un large programme de formation au nouveau Code de procédure administrative.</t>
  </si>
  <si>
    <t>Généraliser les délégations de compétences aux institutions afin de responsabiliser d'avantage les fonctionnaires.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</si>
</sst>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00_);_(* \(#,##0.00\);_(* &quot;-&quot;??_);_(@_)"/>
    <numFmt numFmtId="165" formatCode="_(* #,##0_);_(* \(#,##0\);_(* &quot;-&quot;??_);_(@_)"/>
    <numFmt numFmtId="166" formatCode="_(* #,##0.0_);_(* \(#,##0.0\);_(* &quot;-&quot;??_);_(@_)"/>
    <numFmt numFmtId="167" formatCode="_-* #,##0_-;\-* #,##0_-;_-* &quot;-&quot;??_-;_-@_-"/>
  </numFmts>
  <fonts count="71" x14ac:knownFonts="1">
    <font>
      <sz val="11"/>
      <color theme="1"/>
      <name val="Calibri"/>
      <family val="2"/>
      <scheme val="minor"/>
    </font>
    <font>
      <sz val="11"/>
      <color indexed="8"/>
      <name val="Calibri"/>
      <family val="2"/>
    </font>
    <font>
      <sz val="8"/>
      <color indexed="8"/>
      <name val="Arial"/>
      <family val="2"/>
    </font>
    <font>
      <sz val="8"/>
      <name val="Arial"/>
      <family val="2"/>
    </font>
    <font>
      <b/>
      <i/>
      <sz val="8"/>
      <name val="Arial"/>
      <family val="2"/>
    </font>
    <font>
      <b/>
      <sz val="8"/>
      <name val="Arial"/>
      <family val="2"/>
    </font>
    <font>
      <i/>
      <sz val="8"/>
      <name val="Arial"/>
      <family val="2"/>
    </font>
    <font>
      <b/>
      <sz val="8"/>
      <color indexed="8"/>
      <name val="Arial"/>
      <family val="2"/>
    </font>
    <font>
      <sz val="11"/>
      <color indexed="8"/>
      <name val="Calibri"/>
      <family val="2"/>
    </font>
    <font>
      <sz val="8"/>
      <name val="Calibri"/>
      <family val="2"/>
    </font>
    <font>
      <b/>
      <sz val="8"/>
      <name val="Times New Roman"/>
      <family val="1"/>
    </font>
    <font>
      <b/>
      <sz val="10"/>
      <name val="Arial"/>
      <family val="2"/>
    </font>
    <font>
      <sz val="8"/>
      <name val="Arial Narrow"/>
      <family val="2"/>
      <charset val="204"/>
    </font>
    <font>
      <b/>
      <sz val="8"/>
      <name val="Arial Narrow"/>
      <family val="2"/>
      <charset val="204"/>
    </font>
    <font>
      <b/>
      <sz val="8"/>
      <name val="Arial Narrow"/>
      <family val="2"/>
    </font>
    <font>
      <sz val="9"/>
      <color indexed="8"/>
      <name val="Arial"/>
      <family val="2"/>
    </font>
    <font>
      <sz val="8"/>
      <name val="Arial Narrow"/>
      <family val="2"/>
    </font>
    <font>
      <sz val="8"/>
      <color indexed="8"/>
      <name val="Arial Narrow"/>
      <family val="2"/>
    </font>
    <font>
      <b/>
      <sz val="10"/>
      <name val="Arial Narrow"/>
      <family val="2"/>
    </font>
    <font>
      <b/>
      <i/>
      <sz val="8"/>
      <name val="Arial Narrow"/>
      <family val="2"/>
    </font>
    <font>
      <i/>
      <sz val="8"/>
      <name val="Arial Narrow"/>
      <family val="2"/>
    </font>
    <font>
      <b/>
      <sz val="8"/>
      <color indexed="8"/>
      <name val="Arial Narrow"/>
      <family val="2"/>
    </font>
    <font>
      <b/>
      <sz val="8"/>
      <color indexed="10"/>
      <name val="Arial Narrow"/>
      <family val="2"/>
    </font>
    <font>
      <sz val="10"/>
      <name val="Arial"/>
      <family val="2"/>
    </font>
    <font>
      <sz val="10"/>
      <color indexed="8"/>
      <name val="Arial"/>
      <family val="2"/>
    </font>
    <font>
      <b/>
      <sz val="10"/>
      <color indexed="8"/>
      <name val="Arial"/>
      <family val="2"/>
    </font>
    <font>
      <b/>
      <i/>
      <sz val="10"/>
      <name val="Arial"/>
      <family val="2"/>
    </font>
    <font>
      <b/>
      <sz val="10"/>
      <name val="Arial Narrow"/>
      <family val="2"/>
      <charset val="204"/>
    </font>
    <font>
      <sz val="10"/>
      <name val="Arial Narrow"/>
      <family val="2"/>
      <charset val="204"/>
    </font>
    <font>
      <b/>
      <sz val="10"/>
      <color indexed="10"/>
      <name val="Arial"/>
      <family val="2"/>
    </font>
    <font>
      <sz val="11"/>
      <color theme="1"/>
      <name val="Calibri"/>
      <family val="2"/>
      <scheme val="minor"/>
    </font>
    <font>
      <u/>
      <sz val="8.8000000000000007"/>
      <color theme="10"/>
      <name val="Calibri"/>
      <family val="2"/>
    </font>
    <font>
      <b/>
      <sz val="8"/>
      <color theme="3" tint="-0.249977111117893"/>
      <name val="Arial"/>
      <family val="2"/>
    </font>
    <font>
      <b/>
      <i/>
      <sz val="8"/>
      <color theme="1"/>
      <name val="Arial"/>
      <family val="2"/>
    </font>
    <font>
      <sz val="8"/>
      <color theme="3" tint="-0.249977111117893"/>
      <name val="Arial"/>
      <family val="2"/>
    </font>
    <font>
      <sz val="8"/>
      <color rgb="FFFF0000"/>
      <name val="Arial Narrow"/>
      <family val="2"/>
      <charset val="204"/>
    </font>
    <font>
      <b/>
      <sz val="8"/>
      <color theme="1"/>
      <name val="Arial"/>
      <family val="2"/>
    </font>
    <font>
      <b/>
      <sz val="8"/>
      <color rgb="FFFF0000"/>
      <name val="Arial"/>
      <family val="2"/>
    </font>
    <font>
      <sz val="8"/>
      <color rgb="FFFF0000"/>
      <name val="Arial"/>
      <family val="2"/>
    </font>
    <font>
      <sz val="8"/>
      <color rgb="FF000000"/>
      <name val="Arial"/>
      <family val="2"/>
    </font>
    <font>
      <sz val="8"/>
      <color theme="3" tint="-0.249977111117893"/>
      <name val="Arial Narrow"/>
      <family val="2"/>
    </font>
    <font>
      <b/>
      <i/>
      <sz val="8"/>
      <color theme="1"/>
      <name val="Arial Narrow"/>
      <family val="2"/>
    </font>
    <font>
      <sz val="8"/>
      <color rgb="FFFF0000"/>
      <name val="Arial Narrow"/>
      <family val="2"/>
    </font>
    <font>
      <b/>
      <sz val="8"/>
      <color theme="3" tint="-0.249977111117893"/>
      <name val="Arial Narrow"/>
      <family val="2"/>
    </font>
    <font>
      <b/>
      <sz val="10"/>
      <color rgb="FFFF0000"/>
      <name val="Arial Narrow"/>
      <family val="2"/>
      <charset val="204"/>
    </font>
    <font>
      <b/>
      <i/>
      <sz val="10"/>
      <color rgb="FFFF0000"/>
      <name val="Arial"/>
      <family val="2"/>
    </font>
    <font>
      <sz val="10"/>
      <color theme="3" tint="-0.249977111117893"/>
      <name val="Arial"/>
      <family val="2"/>
    </font>
    <font>
      <b/>
      <sz val="10"/>
      <color rgb="FFC00000"/>
      <name val="Arial Narrow"/>
      <family val="2"/>
    </font>
    <font>
      <sz val="10"/>
      <color rgb="FFC00000"/>
      <name val="Arial Narrow"/>
      <family val="2"/>
    </font>
    <font>
      <b/>
      <i/>
      <sz val="10"/>
      <color rgb="FFC00000"/>
      <name val="Arial Narrow"/>
      <family val="2"/>
    </font>
    <font>
      <b/>
      <sz val="10"/>
      <color theme="3" tint="-0.249977111117893"/>
      <name val="Arial"/>
      <family val="2"/>
    </font>
    <font>
      <sz val="10"/>
      <color rgb="FFFF0000"/>
      <name val="Arial Narrow"/>
      <family val="2"/>
      <charset val="204"/>
    </font>
    <font>
      <sz val="8"/>
      <color rgb="FFC00000"/>
      <name val="Arial"/>
      <family val="2"/>
    </font>
    <font>
      <sz val="8"/>
      <color theme="1"/>
      <name val="Arial"/>
      <family val="2"/>
    </font>
    <font>
      <b/>
      <sz val="9"/>
      <name val="Calibri"/>
      <family val="2"/>
      <scheme val="minor"/>
    </font>
    <font>
      <sz val="9"/>
      <name val="Calibri"/>
      <family val="2"/>
      <scheme val="minor"/>
    </font>
    <font>
      <b/>
      <sz val="10"/>
      <name val="Calibri"/>
      <family val="2"/>
      <scheme val="minor"/>
    </font>
    <font>
      <sz val="6.5"/>
      <color rgb="FF008080"/>
      <name val="Arial"/>
      <family val="2"/>
    </font>
    <font>
      <sz val="22"/>
      <color theme="1"/>
      <name val="Calibri"/>
      <family val="2"/>
      <scheme val="minor"/>
    </font>
    <font>
      <b/>
      <sz val="22"/>
      <color rgb="FF31849B"/>
      <name val="Calibri"/>
      <family val="2"/>
      <scheme val="minor"/>
    </font>
    <font>
      <sz val="22"/>
      <color rgb="FF008080"/>
      <name val="Arial"/>
      <family val="2"/>
    </font>
    <font>
      <sz val="6"/>
      <color rgb="FF808080"/>
      <name val="Calibri"/>
      <family val="2"/>
    </font>
    <font>
      <u/>
      <sz val="6.5"/>
      <color theme="10"/>
      <name val="Arial"/>
      <family val="2"/>
    </font>
    <font>
      <sz val="6"/>
      <color rgb="FF008080"/>
      <name val="Arial"/>
      <family val="2"/>
    </font>
    <font>
      <u/>
      <sz val="6"/>
      <color theme="10"/>
      <name val="Calibri"/>
      <family val="2"/>
    </font>
    <font>
      <sz val="6"/>
      <color theme="1"/>
      <name val="Calibri"/>
      <family val="2"/>
      <scheme val="minor"/>
    </font>
    <font>
      <sz val="11"/>
      <color theme="1"/>
      <name val="Arial Narrow"/>
      <family val="2"/>
    </font>
    <font>
      <b/>
      <sz val="8"/>
      <color rgb="FFC00000"/>
      <name val="Arial"/>
      <family val="2"/>
    </font>
    <font>
      <b/>
      <sz val="22"/>
      <color theme="8" tint="-0.249977111117893"/>
      <name val="Calibri"/>
      <family val="2"/>
      <scheme val="minor"/>
    </font>
    <font>
      <sz val="8"/>
      <color rgb="FF00B0F0"/>
      <name val="Arial"/>
      <family val="2"/>
    </font>
    <font>
      <sz val="10"/>
      <name val="Arial Narrow"/>
      <family val="2"/>
    </font>
  </fonts>
  <fills count="20">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0000"/>
        <bgColor indexed="64"/>
      </patternFill>
    </fill>
    <fill>
      <patternFill patternType="solid">
        <fgColor theme="3" tint="0.59999389629810485"/>
        <bgColor indexed="64"/>
      </patternFill>
    </fill>
    <fill>
      <patternFill patternType="solid">
        <fgColor rgb="FF00B050"/>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rgb="FFFFC000"/>
        <bgColor indexed="64"/>
      </patternFill>
    </fill>
    <fill>
      <patternFill patternType="solid">
        <fgColor theme="3" tint="0.79998168889431442"/>
        <bgColor indexed="64"/>
      </patternFill>
    </fill>
    <fill>
      <patternFill patternType="solid">
        <fgColor rgb="FFFFFF99"/>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rgb="FFC5D9F1"/>
        <bgColor rgb="FF000000"/>
      </patternFill>
    </fill>
  </fills>
  <borders count="9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style="medium">
        <color theme="5"/>
      </left>
      <right style="thin">
        <color theme="5"/>
      </right>
      <top/>
      <bottom style="thin">
        <color theme="5"/>
      </bottom>
      <diagonal/>
    </border>
    <border>
      <left style="thin">
        <color theme="5"/>
      </left>
      <right style="thin">
        <color theme="5"/>
      </right>
      <top/>
      <bottom style="thin">
        <color theme="5"/>
      </bottom>
      <diagonal/>
    </border>
    <border>
      <left style="thin">
        <color theme="5"/>
      </left>
      <right style="medium">
        <color theme="5"/>
      </right>
      <top/>
      <bottom style="thin">
        <color theme="5"/>
      </bottom>
      <diagonal/>
    </border>
    <border>
      <left style="medium">
        <color theme="5"/>
      </left>
      <right style="thin">
        <color theme="5"/>
      </right>
      <top style="thin">
        <color theme="5"/>
      </top>
      <bottom style="thin">
        <color theme="5"/>
      </bottom>
      <diagonal/>
    </border>
    <border>
      <left style="thin">
        <color theme="5"/>
      </left>
      <right style="thin">
        <color theme="5"/>
      </right>
      <top style="thin">
        <color theme="5"/>
      </top>
      <bottom style="thin">
        <color theme="5"/>
      </bottom>
      <diagonal/>
    </border>
    <border>
      <left style="thin">
        <color theme="5"/>
      </left>
      <right style="medium">
        <color theme="5"/>
      </right>
      <top style="thin">
        <color theme="5"/>
      </top>
      <bottom style="thin">
        <color theme="5"/>
      </bottom>
      <diagonal/>
    </border>
    <border>
      <left style="medium">
        <color theme="5"/>
      </left>
      <right style="thin">
        <color theme="5"/>
      </right>
      <top style="thin">
        <color theme="5"/>
      </top>
      <bottom style="medium">
        <color theme="5"/>
      </bottom>
      <diagonal/>
    </border>
    <border>
      <left style="thin">
        <color theme="5"/>
      </left>
      <right style="thin">
        <color theme="5"/>
      </right>
      <top style="thin">
        <color theme="5"/>
      </top>
      <bottom style="medium">
        <color theme="5"/>
      </bottom>
      <diagonal/>
    </border>
    <border>
      <left style="thin">
        <color theme="5"/>
      </left>
      <right style="medium">
        <color theme="5"/>
      </right>
      <top style="thin">
        <color theme="5"/>
      </top>
      <bottom style="medium">
        <color theme="5"/>
      </bottom>
      <diagonal/>
    </border>
    <border>
      <left style="medium">
        <color theme="3"/>
      </left>
      <right/>
      <top style="medium">
        <color theme="3"/>
      </top>
      <bottom style="thin">
        <color theme="3"/>
      </bottom>
      <diagonal/>
    </border>
    <border>
      <left style="medium">
        <color theme="3"/>
      </left>
      <right style="thin">
        <color theme="3"/>
      </right>
      <top style="thin">
        <color theme="3"/>
      </top>
      <bottom style="medium">
        <color theme="3"/>
      </bottom>
      <diagonal/>
    </border>
    <border>
      <left style="thin">
        <color theme="3"/>
      </left>
      <right style="thin">
        <color theme="3"/>
      </right>
      <top/>
      <bottom style="medium">
        <color theme="3"/>
      </bottom>
      <diagonal/>
    </border>
    <border>
      <left style="thin">
        <color theme="3"/>
      </left>
      <right style="thin">
        <color theme="3"/>
      </right>
      <top/>
      <bottom style="thin">
        <color theme="3"/>
      </bottom>
      <diagonal/>
    </border>
    <border>
      <left style="thin">
        <color theme="3"/>
      </left>
      <right style="thin">
        <color theme="3"/>
      </right>
      <top style="thin">
        <color theme="3"/>
      </top>
      <bottom style="thin">
        <color theme="3"/>
      </bottom>
      <diagonal/>
    </border>
    <border>
      <left style="thin">
        <color theme="3"/>
      </left>
      <right style="thin">
        <color theme="3"/>
      </right>
      <top style="thin">
        <color theme="3"/>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medium">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medium">
        <color theme="6" tint="-0.499984740745262"/>
      </right>
      <top style="thin">
        <color theme="6" tint="-0.499984740745262"/>
      </top>
      <bottom style="thin">
        <color theme="6" tint="-0.499984740745262"/>
      </bottom>
      <diagonal/>
    </border>
    <border>
      <left style="medium">
        <color theme="6" tint="-0.499984740745262"/>
      </left>
      <right style="thin">
        <color theme="6" tint="-0.499984740745262"/>
      </right>
      <top style="thin">
        <color theme="6" tint="-0.499984740745262"/>
      </top>
      <bottom style="medium">
        <color theme="6" tint="-0.499984740745262"/>
      </bottom>
      <diagonal/>
    </border>
    <border>
      <left style="medium">
        <color theme="6" tint="-0.499984740745262"/>
      </left>
      <right style="thin">
        <color theme="6" tint="-0.499984740745262"/>
      </right>
      <top/>
      <bottom style="thin">
        <color theme="6" tint="-0.499984740745262"/>
      </bottom>
      <diagonal/>
    </border>
    <border>
      <left style="thin">
        <color theme="6" tint="-0.499984740745262"/>
      </left>
      <right style="thin">
        <color theme="6" tint="-0.499984740745262"/>
      </right>
      <top/>
      <bottom style="thin">
        <color theme="6" tint="-0.499984740745262"/>
      </bottom>
      <diagonal/>
    </border>
    <border>
      <left style="thin">
        <color theme="6" tint="-0.499984740745262"/>
      </left>
      <right style="medium">
        <color theme="6" tint="-0.499984740745262"/>
      </right>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medium">
        <color theme="6" tint="-0.499984740745262"/>
      </right>
      <top style="thin">
        <color theme="6" tint="-0.499984740745262"/>
      </top>
      <bottom/>
      <diagonal/>
    </border>
    <border>
      <left style="medium">
        <color theme="6" tint="-0.499984740745262"/>
      </left>
      <right style="thin">
        <color theme="6" tint="-0.499984740745262"/>
      </right>
      <top style="medium">
        <color theme="6" tint="-0.499984740745262"/>
      </top>
      <bottom style="medium">
        <color theme="6" tint="-0.499984740745262"/>
      </bottom>
      <diagonal/>
    </border>
    <border>
      <left style="medium">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style="medium">
        <color theme="6" tint="-0.499984740745262"/>
      </top>
      <bottom style="medium">
        <color theme="6" tint="-0.499984740745262"/>
      </bottom>
      <diagonal/>
    </border>
    <border>
      <left style="thin">
        <color theme="6" tint="-0.499984740745262"/>
      </left>
      <right style="medium">
        <color theme="6" tint="-0.499984740745262"/>
      </right>
      <top style="medium">
        <color theme="6" tint="-0.499984740745262"/>
      </top>
      <bottom style="medium">
        <color theme="6" tint="-0.499984740745262"/>
      </bottom>
      <diagonal/>
    </border>
    <border>
      <left/>
      <right/>
      <top/>
      <bottom style="medium">
        <color theme="6" tint="-0.499984740745262"/>
      </bottom>
      <diagonal/>
    </border>
    <border>
      <left style="medium">
        <color theme="6" tint="-0.499984740745262"/>
      </left>
      <right style="medium">
        <color theme="6" tint="-0.499984740745262"/>
      </right>
      <top style="medium">
        <color theme="6" tint="-0.499984740745262"/>
      </top>
      <bottom style="medium">
        <color theme="6" tint="-0.499984740745262"/>
      </bottom>
      <diagonal/>
    </border>
    <border>
      <left style="medium">
        <color theme="5"/>
      </left>
      <right style="medium">
        <color theme="5"/>
      </right>
      <top style="medium">
        <color theme="5"/>
      </top>
      <bottom style="medium">
        <color theme="5"/>
      </bottom>
      <diagonal/>
    </border>
    <border>
      <left style="thin">
        <color theme="6" tint="-0.499984740745262"/>
      </left>
      <right style="medium">
        <color theme="6" tint="-0.499984740745262"/>
      </right>
      <top style="thin">
        <color theme="6" tint="-0.499984740745262"/>
      </top>
      <bottom style="medium">
        <color theme="6" tint="-0.499984740745262"/>
      </bottom>
      <diagonal/>
    </border>
    <border>
      <left style="medium">
        <color theme="3"/>
      </left>
      <right style="thin">
        <color theme="3"/>
      </right>
      <top style="medium">
        <color theme="3"/>
      </top>
      <bottom style="medium">
        <color theme="3"/>
      </bottom>
      <diagonal/>
    </border>
    <border>
      <left style="thin">
        <color theme="3"/>
      </left>
      <right style="thin">
        <color theme="3"/>
      </right>
      <top style="medium">
        <color theme="3"/>
      </top>
      <bottom style="medium">
        <color theme="3"/>
      </bottom>
      <diagonal/>
    </border>
    <border>
      <left style="thin">
        <color theme="3"/>
      </left>
      <right style="medium">
        <color theme="3"/>
      </right>
      <top style="medium">
        <color theme="3"/>
      </top>
      <bottom style="medium">
        <color theme="3"/>
      </bottom>
      <diagonal/>
    </border>
    <border>
      <left/>
      <right style="medium">
        <color theme="3"/>
      </right>
      <top style="medium">
        <color theme="3"/>
      </top>
      <bottom style="thin">
        <color theme="3"/>
      </bottom>
      <diagonal/>
    </border>
    <border>
      <left style="thin">
        <color theme="3"/>
      </left>
      <right style="medium">
        <color theme="3"/>
      </right>
      <top style="thin">
        <color theme="3"/>
      </top>
      <bottom style="medium">
        <color theme="3"/>
      </bottom>
      <diagonal/>
    </border>
    <border>
      <left style="medium">
        <color theme="6" tint="-0.499984740745262"/>
      </left>
      <right/>
      <top style="medium">
        <color theme="6" tint="-0.499984740745262"/>
      </top>
      <bottom style="thin">
        <color theme="6" tint="-0.499984740745262"/>
      </bottom>
      <diagonal/>
    </border>
    <border>
      <left style="medium">
        <color theme="6" tint="-0.499984740745262"/>
      </left>
      <right/>
      <top style="thin">
        <color theme="6" tint="-0.499984740745262"/>
      </top>
      <bottom style="medium">
        <color theme="6" tint="-0.499984740745262"/>
      </bottom>
      <diagonal/>
    </border>
    <border>
      <left style="medium">
        <color theme="6" tint="-0.499984740745262"/>
      </left>
      <right style="medium">
        <color theme="6" tint="-0.499984740745262"/>
      </right>
      <top style="medium">
        <color theme="6" tint="-0.499984740745262"/>
      </top>
      <bottom style="thin">
        <color theme="6" tint="-0.499984740745262"/>
      </bottom>
      <diagonal/>
    </border>
    <border>
      <left style="medium">
        <color theme="6" tint="-0.499984740745262"/>
      </left>
      <right style="medium">
        <color theme="6" tint="-0.499984740745262"/>
      </right>
      <top style="thin">
        <color theme="6" tint="-0.499984740745262"/>
      </top>
      <bottom style="medium">
        <color theme="6" tint="-0.499984740745262"/>
      </bottom>
      <diagonal/>
    </border>
    <border>
      <left style="medium">
        <color theme="5"/>
      </left>
      <right style="medium">
        <color theme="5"/>
      </right>
      <top style="medium">
        <color theme="5"/>
      </top>
      <bottom/>
      <diagonal/>
    </border>
    <border>
      <left style="medium">
        <color theme="5"/>
      </left>
      <right style="medium">
        <color theme="5"/>
      </right>
      <top/>
      <bottom style="medium">
        <color theme="5"/>
      </bottom>
      <diagonal/>
    </border>
    <border>
      <left style="medium">
        <color theme="5"/>
      </left>
      <right/>
      <top style="medium">
        <color theme="5"/>
      </top>
      <bottom style="medium">
        <color theme="5"/>
      </bottom>
      <diagonal/>
    </border>
    <border>
      <left/>
      <right/>
      <top style="medium">
        <color theme="5"/>
      </top>
      <bottom style="medium">
        <color theme="5"/>
      </bottom>
      <diagonal/>
    </border>
    <border>
      <left/>
      <right style="medium">
        <color theme="5"/>
      </right>
      <top style="medium">
        <color theme="5"/>
      </top>
      <bottom style="medium">
        <color theme="5"/>
      </bottom>
      <diagonal/>
    </border>
  </borders>
  <cellStyleXfs count="7">
    <xf numFmtId="0" fontId="0" fillId="0" borderId="0"/>
    <xf numFmtId="164" fontId="8" fillId="0" borderId="0" applyFont="0" applyFill="0" applyBorder="0" applyAlignment="0" applyProtection="0"/>
    <xf numFmtId="164" fontId="1" fillId="0" borderId="0" applyFont="0" applyFill="0" applyBorder="0" applyAlignment="0" applyProtection="0"/>
    <xf numFmtId="0" fontId="31" fillId="0" borderId="0" applyNumberFormat="0" applyFill="0" applyBorder="0" applyAlignment="0" applyProtection="0">
      <alignment vertical="top"/>
      <protection locked="0"/>
    </xf>
    <xf numFmtId="0" fontId="30" fillId="0" borderId="0"/>
    <xf numFmtId="0" fontId="30" fillId="0" borderId="0"/>
    <xf numFmtId="9" fontId="8" fillId="0" borderId="0" applyFont="0" applyFill="0" applyBorder="0" applyAlignment="0" applyProtection="0"/>
  </cellStyleXfs>
  <cellXfs count="1216">
    <xf numFmtId="0" fontId="0" fillId="0" borderId="0" xfId="0"/>
    <xf numFmtId="0" fontId="3" fillId="0" borderId="0" xfId="0" applyFont="1" applyFill="1" applyBorder="1" applyAlignment="1" applyProtection="1">
      <alignment horizontal="right"/>
      <protection locked="0"/>
    </xf>
    <xf numFmtId="0" fontId="5" fillId="2" borderId="1" xfId="0" applyFont="1" applyFill="1" applyBorder="1" applyAlignment="1" applyProtection="1">
      <alignment horizontal="right"/>
      <protection locked="0"/>
    </xf>
    <xf numFmtId="0" fontId="2" fillId="0" borderId="0" xfId="0" applyFont="1" applyFill="1" applyBorder="1" applyAlignment="1" applyProtection="1">
      <protection locked="0"/>
    </xf>
    <xf numFmtId="0" fontId="4" fillId="0" borderId="0" xfId="0" applyFont="1" applyFill="1" applyBorder="1" applyAlignment="1" applyProtection="1">
      <alignment horizontal="center" wrapText="1"/>
      <protection locked="0"/>
    </xf>
    <xf numFmtId="0" fontId="4" fillId="0" borderId="0" xfId="0" applyFont="1" applyFill="1" applyBorder="1" applyAlignment="1" applyProtection="1">
      <alignment horizontal="center"/>
      <protection locked="0"/>
    </xf>
    <xf numFmtId="0" fontId="4" fillId="0" borderId="0" xfId="0" applyFont="1" applyFill="1" applyBorder="1" applyAlignment="1" applyProtection="1">
      <protection locked="0"/>
    </xf>
    <xf numFmtId="0" fontId="6" fillId="0" borderId="0" xfId="0" applyFont="1" applyFill="1" applyBorder="1" applyAlignment="1" applyProtection="1">
      <protection locked="0"/>
    </xf>
    <xf numFmtId="0" fontId="5" fillId="0" borderId="1" xfId="0" applyFont="1" applyFill="1" applyBorder="1" applyAlignment="1" applyProtection="1">
      <alignment horizontal="right"/>
      <protection locked="0"/>
    </xf>
    <xf numFmtId="0" fontId="3" fillId="0" borderId="0" xfId="0" applyFont="1" applyFill="1" applyBorder="1" applyAlignment="1" applyProtection="1">
      <protection locked="0"/>
    </xf>
    <xf numFmtId="0" fontId="2" fillId="0" borderId="0" xfId="0" applyFont="1" applyFill="1" applyBorder="1" applyAlignment="1" applyProtection="1">
      <alignment horizontal="center"/>
      <protection locked="0"/>
    </xf>
    <xf numFmtId="0" fontId="2" fillId="0" borderId="0" xfId="0" applyFont="1" applyFill="1" applyBorder="1" applyAlignment="1" applyProtection="1">
      <alignment horizontal="right"/>
      <protection locked="0"/>
    </xf>
    <xf numFmtId="0" fontId="4" fillId="0" borderId="0" xfId="0" applyFont="1" applyFill="1" applyBorder="1" applyAlignment="1" applyProtection="1">
      <alignment horizontal="center" vertical="center" wrapText="1"/>
      <protection locked="0"/>
    </xf>
    <xf numFmtId="0" fontId="32" fillId="3" borderId="2" xfId="0" applyFont="1" applyFill="1" applyBorder="1" applyAlignment="1" applyProtection="1">
      <protection locked="0"/>
    </xf>
    <xf numFmtId="0" fontId="7" fillId="3" borderId="2" xfId="0" applyFont="1" applyFill="1" applyBorder="1" applyAlignment="1" applyProtection="1">
      <alignment horizontal="center"/>
      <protection locked="0"/>
    </xf>
    <xf numFmtId="0" fontId="33" fillId="0" borderId="0" xfId="0" applyFont="1" applyFill="1" applyBorder="1" applyAlignment="1" applyProtection="1">
      <protection locked="0"/>
    </xf>
    <xf numFmtId="0" fontId="10" fillId="3" borderId="3" xfId="0" applyFont="1" applyFill="1" applyBorder="1" applyAlignment="1">
      <alignment horizontal="center" vertical="center"/>
    </xf>
    <xf numFmtId="0" fontId="12" fillId="0" borderId="1" xfId="0" applyFont="1" applyFill="1" applyBorder="1" applyAlignment="1" applyProtection="1">
      <alignment horizontal="left" vertical="top" wrapText="1"/>
    </xf>
    <xf numFmtId="0" fontId="12" fillId="0" borderId="4" xfId="0" applyFont="1" applyFill="1" applyBorder="1" applyAlignment="1" applyProtection="1">
      <alignment horizontal="left" vertical="top" wrapText="1"/>
    </xf>
    <xf numFmtId="0" fontId="12" fillId="0" borderId="5" xfId="0" applyFont="1" applyFill="1" applyBorder="1" applyAlignment="1" applyProtection="1">
      <alignment horizontal="left" vertical="top" wrapText="1"/>
    </xf>
    <xf numFmtId="0" fontId="10" fillId="3" borderId="6" xfId="0" applyFont="1" applyFill="1" applyBorder="1" applyAlignment="1">
      <alignment horizontal="center" vertical="center"/>
    </xf>
    <xf numFmtId="0" fontId="10" fillId="3" borderId="7" xfId="0" applyFont="1" applyFill="1" applyBorder="1" applyAlignment="1">
      <alignment horizontal="center" vertical="center"/>
    </xf>
    <xf numFmtId="0" fontId="7" fillId="3" borderId="8"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34" fillId="4" borderId="0" xfId="0" applyFont="1" applyFill="1" applyBorder="1" applyAlignment="1" applyProtection="1">
      <alignment horizontal="left" vertical="top"/>
      <protection locked="0"/>
    </xf>
    <xf numFmtId="0" fontId="4" fillId="3" borderId="9" xfId="0" applyFont="1" applyFill="1" applyBorder="1" applyAlignment="1" applyProtection="1">
      <alignment horizontal="left" vertical="top" wrapText="1"/>
      <protection locked="0"/>
    </xf>
    <xf numFmtId="0" fontId="10" fillId="3" borderId="9" xfId="0" applyFont="1" applyFill="1" applyBorder="1" applyAlignment="1">
      <alignment horizontal="center" vertical="center"/>
    </xf>
    <xf numFmtId="0" fontId="12" fillId="0" borderId="10" xfId="0" applyFont="1" applyFill="1" applyBorder="1" applyAlignment="1" applyProtection="1">
      <alignment horizontal="left" vertical="top" wrapText="1"/>
    </xf>
    <xf numFmtId="0" fontId="12" fillId="5" borderId="10" xfId="0" applyFont="1" applyFill="1" applyBorder="1" applyAlignment="1" applyProtection="1">
      <alignment horizontal="left" vertical="top" wrapText="1"/>
    </xf>
    <xf numFmtId="0" fontId="12" fillId="0" borderId="2" xfId="0" applyFont="1" applyFill="1" applyBorder="1" applyAlignment="1" applyProtection="1">
      <alignment horizontal="left" vertical="top" wrapText="1"/>
    </xf>
    <xf numFmtId="0" fontId="35" fillId="0" borderId="4" xfId="0" applyFont="1" applyFill="1" applyBorder="1" applyAlignment="1" applyProtection="1">
      <alignment horizontal="left" vertical="top" wrapText="1"/>
    </xf>
    <xf numFmtId="0" fontId="35" fillId="0" borderId="1" xfId="0" applyFont="1" applyFill="1" applyBorder="1" applyAlignment="1" applyProtection="1">
      <alignment horizontal="left" vertical="top" wrapText="1"/>
    </xf>
    <xf numFmtId="0" fontId="7" fillId="3" borderId="2" xfId="0" applyFont="1" applyFill="1" applyBorder="1" applyAlignment="1" applyProtection="1">
      <alignment horizontal="right"/>
      <protection locked="0"/>
    </xf>
    <xf numFmtId="0" fontId="34" fillId="0" borderId="0" xfId="0" applyFont="1" applyFill="1" applyBorder="1" applyAlignment="1" applyProtection="1">
      <alignment horizontal="left" vertical="top"/>
      <protection locked="0"/>
    </xf>
    <xf numFmtId="165" fontId="3" fillId="0" borderId="0" xfId="2" applyNumberFormat="1" applyFont="1" applyFill="1" applyBorder="1" applyAlignment="1" applyProtection="1">
      <alignment horizontal="right" wrapText="1"/>
      <protection locked="0"/>
    </xf>
    <xf numFmtId="165" fontId="3" fillId="0" borderId="0" xfId="2" applyNumberFormat="1" applyFont="1" applyFill="1" applyBorder="1" applyAlignment="1" applyProtection="1">
      <alignment horizontal="right"/>
      <protection locked="0"/>
    </xf>
    <xf numFmtId="165" fontId="5" fillId="2" borderId="1" xfId="2" applyNumberFormat="1" applyFont="1" applyFill="1" applyBorder="1" applyAlignment="1" applyProtection="1">
      <alignment horizontal="right"/>
      <protection locked="0"/>
    </xf>
    <xf numFmtId="165" fontId="2" fillId="0" borderId="0" xfId="2" applyNumberFormat="1" applyFont="1" applyFill="1" applyBorder="1" applyAlignment="1" applyProtection="1">
      <alignment horizontal="right" wrapText="1"/>
      <protection locked="0"/>
    </xf>
    <xf numFmtId="165" fontId="5" fillId="0" borderId="1" xfId="2" applyNumberFormat="1" applyFont="1" applyFill="1" applyBorder="1" applyAlignment="1" applyProtection="1">
      <alignment horizontal="right"/>
      <protection locked="0"/>
    </xf>
    <xf numFmtId="0" fontId="34" fillId="0" borderId="0" xfId="0" applyFont="1" applyFill="1" applyBorder="1" applyAlignment="1" applyProtection="1">
      <protection locked="0"/>
    </xf>
    <xf numFmtId="165" fontId="2" fillId="0" borderId="0" xfId="2" applyNumberFormat="1" applyFont="1" applyFill="1" applyBorder="1" applyAlignment="1" applyProtection="1">
      <alignment horizontal="right"/>
      <protection locked="0"/>
    </xf>
    <xf numFmtId="165" fontId="5" fillId="6" borderId="1" xfId="2" applyNumberFormat="1" applyFont="1" applyFill="1" applyBorder="1" applyAlignment="1" applyProtection="1">
      <alignment horizontal="right"/>
      <protection locked="0"/>
    </xf>
    <xf numFmtId="0" fontId="4" fillId="3" borderId="11" xfId="0" applyFont="1" applyFill="1" applyBorder="1" applyAlignment="1" applyProtection="1">
      <alignment horizontal="center" wrapText="1"/>
      <protection locked="0"/>
    </xf>
    <xf numFmtId="0" fontId="4" fillId="3" borderId="9" xfId="0" applyFont="1" applyFill="1" applyBorder="1" applyAlignment="1" applyProtection="1">
      <alignment horizontal="center" wrapText="1"/>
      <protection locked="0"/>
    </xf>
    <xf numFmtId="0" fontId="2" fillId="4" borderId="0" xfId="0" applyFont="1" applyFill="1" applyBorder="1" applyAlignment="1" applyProtection="1">
      <protection locked="0"/>
    </xf>
    <xf numFmtId="0" fontId="34" fillId="4" borderId="0" xfId="0" applyFont="1" applyFill="1" applyBorder="1" applyAlignment="1" applyProtection="1">
      <protection locked="0"/>
    </xf>
    <xf numFmtId="0" fontId="2" fillId="4" borderId="0" xfId="0" applyFont="1" applyFill="1" applyBorder="1" applyAlignment="1" applyProtection="1">
      <alignment horizontal="center"/>
      <protection locked="0"/>
    </xf>
    <xf numFmtId="165" fontId="2" fillId="4" borderId="0" xfId="2" applyNumberFormat="1" applyFont="1" applyFill="1" applyBorder="1" applyAlignment="1" applyProtection="1">
      <alignment horizontal="right"/>
      <protection locked="0"/>
    </xf>
    <xf numFmtId="0" fontId="2" fillId="4" borderId="0" xfId="0" applyFont="1" applyFill="1" applyBorder="1" applyAlignment="1" applyProtection="1">
      <alignment horizontal="right"/>
      <protection locked="0"/>
    </xf>
    <xf numFmtId="0" fontId="3" fillId="4" borderId="0" xfId="0" applyFont="1" applyFill="1" applyBorder="1" applyAlignment="1" applyProtection="1">
      <alignment horizontal="right"/>
      <protection locked="0"/>
    </xf>
    <xf numFmtId="165" fontId="3" fillId="4" borderId="0" xfId="2" applyNumberFormat="1" applyFont="1" applyFill="1" applyBorder="1" applyAlignment="1" applyProtection="1">
      <alignment horizontal="right"/>
      <protection locked="0"/>
    </xf>
    <xf numFmtId="165" fontId="3" fillId="4" borderId="0" xfId="2" applyNumberFormat="1" applyFont="1" applyFill="1" applyBorder="1" applyAlignment="1" applyProtection="1">
      <alignment horizontal="right" wrapText="1"/>
      <protection locked="0"/>
    </xf>
    <xf numFmtId="165" fontId="2" fillId="4" borderId="0" xfId="2" applyNumberFormat="1" applyFont="1" applyFill="1" applyBorder="1" applyAlignment="1" applyProtection="1">
      <alignment horizontal="right" wrapText="1"/>
      <protection locked="0"/>
    </xf>
    <xf numFmtId="0" fontId="5" fillId="4" borderId="0" xfId="0" applyFont="1" applyFill="1" applyBorder="1" applyAlignment="1">
      <alignment wrapText="1"/>
    </xf>
    <xf numFmtId="0" fontId="2" fillId="4" borderId="0" xfId="0" applyFont="1" applyFill="1" applyBorder="1" applyAlignment="1" applyProtection="1">
      <alignment vertical="center"/>
      <protection locked="0"/>
    </xf>
    <xf numFmtId="0" fontId="5" fillId="4" borderId="0" xfId="0" applyFont="1" applyFill="1" applyBorder="1" applyAlignment="1">
      <alignment vertical="center" wrapText="1"/>
    </xf>
    <xf numFmtId="0" fontId="7" fillId="4" borderId="0" xfId="0" applyFont="1" applyFill="1" applyBorder="1" applyAlignment="1" applyProtection="1">
      <alignment vertical="center"/>
      <protection locked="0"/>
    </xf>
    <xf numFmtId="165" fontId="5" fillId="5" borderId="1" xfId="2" applyNumberFormat="1" applyFont="1" applyFill="1" applyBorder="1" applyAlignment="1" applyProtection="1">
      <alignment horizontal="right"/>
      <protection locked="0"/>
    </xf>
    <xf numFmtId="165" fontId="5" fillId="4" borderId="0" xfId="2" applyNumberFormat="1" applyFont="1" applyFill="1" applyBorder="1" applyAlignment="1" applyProtection="1">
      <alignment horizontal="right" wrapText="1"/>
      <protection locked="0"/>
    </xf>
    <xf numFmtId="165" fontId="5" fillId="0" borderId="0" xfId="2" applyNumberFormat="1" applyFont="1" applyFill="1" applyBorder="1" applyAlignment="1" applyProtection="1">
      <alignment horizontal="right" wrapText="1"/>
      <protection locked="0"/>
    </xf>
    <xf numFmtId="0" fontId="34" fillId="4" borderId="0" xfId="0" applyFont="1" applyFill="1" applyBorder="1" applyAlignment="1" applyProtection="1">
      <alignment horizontal="left"/>
      <protection locked="0"/>
    </xf>
    <xf numFmtId="0" fontId="34" fillId="0" borderId="0" xfId="0" applyFont="1" applyFill="1" applyBorder="1" applyAlignment="1" applyProtection="1">
      <alignment horizontal="left"/>
      <protection locked="0"/>
    </xf>
    <xf numFmtId="0" fontId="5" fillId="0" borderId="0" xfId="0" applyFont="1" applyFill="1" applyBorder="1" applyAlignment="1" applyProtection="1">
      <alignment horizontal="center" wrapText="1"/>
      <protection locked="0"/>
    </xf>
    <xf numFmtId="165" fontId="5" fillId="5" borderId="2" xfId="2" applyNumberFormat="1" applyFont="1" applyFill="1" applyBorder="1" applyAlignment="1" applyProtection="1">
      <alignment horizontal="right"/>
      <protection locked="0"/>
    </xf>
    <xf numFmtId="0" fontId="36" fillId="0" borderId="0" xfId="0" applyFont="1" applyFill="1" applyBorder="1" applyAlignment="1" applyProtection="1">
      <protection locked="0"/>
    </xf>
    <xf numFmtId="0" fontId="5" fillId="0" borderId="0" xfId="0" applyFont="1" applyFill="1" applyBorder="1" applyAlignment="1" applyProtection="1">
      <alignment horizontal="center"/>
      <protection locked="0"/>
    </xf>
    <xf numFmtId="0" fontId="5" fillId="0" borderId="0" xfId="0" applyFont="1" applyFill="1" applyBorder="1" applyAlignment="1" applyProtection="1">
      <alignment horizontal="center" vertical="center" wrapText="1"/>
      <protection locked="0"/>
    </xf>
    <xf numFmtId="165" fontId="5" fillId="5" borderId="5" xfId="2" applyNumberFormat="1" applyFont="1" applyFill="1" applyBorder="1" applyAlignment="1" applyProtection="1">
      <alignment horizontal="right"/>
      <protection locked="0"/>
    </xf>
    <xf numFmtId="165" fontId="5" fillId="0" borderId="5" xfId="2" applyNumberFormat="1" applyFont="1" applyFill="1" applyBorder="1" applyAlignment="1" applyProtection="1">
      <alignment horizontal="right"/>
      <protection locked="0"/>
    </xf>
    <xf numFmtId="165" fontId="5" fillId="6" borderId="5" xfId="2" applyNumberFormat="1" applyFont="1" applyFill="1" applyBorder="1" applyAlignment="1" applyProtection="1">
      <alignment horizontal="right"/>
      <protection locked="0"/>
    </xf>
    <xf numFmtId="165" fontId="5" fillId="0" borderId="5" xfId="2" applyNumberFormat="1" applyFont="1" applyFill="1" applyBorder="1" applyAlignment="1" applyProtection="1">
      <alignment vertical="center"/>
      <protection locked="0"/>
    </xf>
    <xf numFmtId="165" fontId="5" fillId="5" borderId="13" xfId="2" applyNumberFormat="1" applyFont="1" applyFill="1" applyBorder="1" applyAlignment="1" applyProtection="1">
      <alignment vertical="center"/>
      <protection locked="0"/>
    </xf>
    <xf numFmtId="165" fontId="5" fillId="0" borderId="6" xfId="2" applyNumberFormat="1" applyFont="1" applyFill="1" applyBorder="1" applyAlignment="1" applyProtection="1">
      <alignment vertical="center"/>
      <protection locked="0"/>
    </xf>
    <xf numFmtId="165" fontId="5" fillId="0" borderId="1" xfId="2" applyNumberFormat="1" applyFont="1" applyFill="1" applyBorder="1" applyAlignment="1" applyProtection="1">
      <alignment vertical="center"/>
      <protection locked="0"/>
    </xf>
    <xf numFmtId="165" fontId="5" fillId="0" borderId="12" xfId="2" applyNumberFormat="1" applyFont="1" applyFill="1" applyBorder="1" applyAlignment="1" applyProtection="1">
      <alignment vertical="center"/>
      <protection locked="0"/>
    </xf>
    <xf numFmtId="0" fontId="5" fillId="0" borderId="0" xfId="0" applyFont="1" applyFill="1" applyBorder="1" applyAlignment="1" applyProtection="1">
      <protection locked="0"/>
    </xf>
    <xf numFmtId="0" fontId="3" fillId="0" borderId="14" xfId="0" applyFont="1" applyFill="1" applyBorder="1" applyAlignment="1" applyProtection="1">
      <alignment wrapText="1"/>
      <protection locked="0"/>
    </xf>
    <xf numFmtId="0" fontId="3" fillId="6" borderId="14" xfId="0" applyFont="1" applyFill="1" applyBorder="1" applyAlignment="1" applyProtection="1">
      <alignment wrapText="1"/>
      <protection locked="0"/>
    </xf>
    <xf numFmtId="0" fontId="3" fillId="5" borderId="14" xfId="0" applyFont="1" applyFill="1" applyBorder="1" applyAlignment="1" applyProtection="1">
      <alignment wrapText="1"/>
      <protection locked="0"/>
    </xf>
    <xf numFmtId="0" fontId="5" fillId="5" borderId="14" xfId="0" applyFont="1" applyFill="1" applyBorder="1" applyAlignment="1" applyProtection="1">
      <alignment wrapText="1"/>
      <protection locked="0"/>
    </xf>
    <xf numFmtId="165" fontId="5" fillId="0" borderId="2" xfId="2" applyNumberFormat="1" applyFont="1" applyFill="1" applyBorder="1" applyAlignment="1" applyProtection="1">
      <alignment vertical="center"/>
      <protection locked="0"/>
    </xf>
    <xf numFmtId="165" fontId="5" fillId="0" borderId="2" xfId="2" applyNumberFormat="1" applyFont="1" applyFill="1" applyBorder="1" applyAlignment="1" applyProtection="1">
      <alignment horizontal="right"/>
      <protection locked="0"/>
    </xf>
    <xf numFmtId="165" fontId="5" fillId="6" borderId="2" xfId="2" applyNumberFormat="1" applyFont="1" applyFill="1" applyBorder="1" applyAlignment="1" applyProtection="1">
      <alignment horizontal="right"/>
      <protection locked="0"/>
    </xf>
    <xf numFmtId="0" fontId="5" fillId="0" borderId="15" xfId="0" applyFont="1" applyFill="1" applyBorder="1" applyAlignment="1" applyProtection="1">
      <protection locked="0"/>
    </xf>
    <xf numFmtId="165" fontId="5" fillId="0" borderId="4" xfId="2" applyNumberFormat="1" applyFont="1" applyFill="1" applyBorder="1" applyAlignment="1" applyProtection="1">
      <alignment horizontal="right"/>
      <protection locked="0"/>
    </xf>
    <xf numFmtId="165" fontId="5" fillId="5" borderId="4" xfId="2" applyNumberFormat="1" applyFont="1" applyFill="1" applyBorder="1" applyAlignment="1" applyProtection="1">
      <alignment horizontal="right"/>
      <protection locked="0"/>
    </xf>
    <xf numFmtId="165" fontId="5" fillId="6" borderId="4" xfId="2" applyNumberFormat="1" applyFont="1" applyFill="1" applyBorder="1" applyAlignment="1" applyProtection="1">
      <alignment horizontal="right"/>
      <protection locked="0"/>
    </xf>
    <xf numFmtId="165" fontId="5" fillId="0" borderId="4" xfId="2" applyNumberFormat="1" applyFont="1" applyFill="1" applyBorder="1" applyAlignment="1" applyProtection="1">
      <alignment vertical="center"/>
      <protection locked="0"/>
    </xf>
    <xf numFmtId="165" fontId="5" fillId="4" borderId="5" xfId="2" applyNumberFormat="1" applyFont="1" applyFill="1" applyBorder="1" applyAlignment="1" applyProtection="1">
      <alignment horizontal="right"/>
      <protection locked="0"/>
    </xf>
    <xf numFmtId="0" fontId="3" fillId="0" borderId="3" xfId="0" applyFont="1" applyFill="1" applyBorder="1" applyAlignment="1" applyProtection="1">
      <alignment wrapText="1"/>
      <protection locked="0"/>
    </xf>
    <xf numFmtId="0" fontId="3" fillId="6" borderId="3" xfId="0" applyFont="1" applyFill="1" applyBorder="1" applyAlignment="1" applyProtection="1">
      <alignment wrapText="1"/>
      <protection locked="0"/>
    </xf>
    <xf numFmtId="0" fontId="3" fillId="5" borderId="3" xfId="0" applyFont="1" applyFill="1" applyBorder="1" applyAlignment="1" applyProtection="1">
      <alignment wrapText="1"/>
      <protection locked="0"/>
    </xf>
    <xf numFmtId="0" fontId="5" fillId="5" borderId="3" xfId="0" applyFont="1" applyFill="1" applyBorder="1" applyAlignment="1" applyProtection="1">
      <alignment wrapText="1"/>
      <protection locked="0"/>
    </xf>
    <xf numFmtId="165" fontId="5" fillId="0" borderId="10" xfId="2" applyNumberFormat="1" applyFont="1" applyFill="1" applyBorder="1" applyAlignment="1" applyProtection="1">
      <alignment horizontal="right"/>
      <protection locked="0"/>
    </xf>
    <xf numFmtId="165" fontId="5" fillId="5" borderId="10" xfId="2" applyNumberFormat="1" applyFont="1" applyFill="1" applyBorder="1" applyAlignment="1" applyProtection="1">
      <alignment horizontal="right"/>
      <protection locked="0"/>
    </xf>
    <xf numFmtId="165" fontId="5" fillId="6" borderId="10" xfId="2" applyNumberFormat="1" applyFont="1" applyFill="1" applyBorder="1" applyAlignment="1" applyProtection="1">
      <alignment horizontal="right"/>
      <protection locked="0"/>
    </xf>
    <xf numFmtId="165" fontId="5" fillId="0" borderId="10" xfId="2" applyNumberFormat="1" applyFont="1" applyFill="1" applyBorder="1" applyAlignment="1" applyProtection="1">
      <alignment vertical="center"/>
      <protection locked="0"/>
    </xf>
    <xf numFmtId="165" fontId="5" fillId="0" borderId="16" xfId="2" applyNumberFormat="1" applyFont="1" applyFill="1" applyBorder="1" applyAlignment="1" applyProtection="1">
      <alignment vertical="center"/>
      <protection locked="0"/>
    </xf>
    <xf numFmtId="0" fontId="37" fillId="4" borderId="1" xfId="0" applyFont="1" applyFill="1" applyBorder="1" applyAlignment="1" applyProtection="1">
      <alignment horizontal="right"/>
      <protection locked="0"/>
    </xf>
    <xf numFmtId="0" fontId="5" fillId="3" borderId="3" xfId="0" applyFont="1" applyFill="1" applyBorder="1" applyAlignment="1">
      <alignment horizontal="center" vertical="center"/>
    </xf>
    <xf numFmtId="0" fontId="5" fillId="5" borderId="3" xfId="0" applyFont="1" applyFill="1" applyBorder="1" applyAlignment="1">
      <alignment horizontal="center" vertical="center"/>
    </xf>
    <xf numFmtId="0" fontId="5" fillId="5" borderId="7"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3" fillId="0" borderId="5" xfId="0" applyFont="1" applyFill="1" applyBorder="1" applyAlignment="1" applyProtection="1">
      <alignment horizontal="left" vertical="top" wrapText="1"/>
    </xf>
    <xf numFmtId="0" fontId="3" fillId="0" borderId="1" xfId="0" applyFont="1" applyFill="1" applyBorder="1" applyAlignment="1" applyProtection="1">
      <alignment horizontal="left" vertical="top" wrapText="1"/>
    </xf>
    <xf numFmtId="0" fontId="38" fillId="0" borderId="2" xfId="0" applyFont="1" applyBorder="1" applyAlignment="1">
      <alignment wrapText="1"/>
    </xf>
    <xf numFmtId="0" fontId="38" fillId="0" borderId="0" xfId="0" applyFont="1" applyBorder="1" applyAlignment="1">
      <alignment wrapText="1"/>
    </xf>
    <xf numFmtId="0" fontId="3" fillId="0" borderId="2" xfId="0" applyFont="1" applyFill="1" applyBorder="1" applyAlignment="1" applyProtection="1">
      <alignment horizontal="left" vertical="top" wrapText="1"/>
    </xf>
    <xf numFmtId="0" fontId="39" fillId="5" borderId="5" xfId="0" applyFont="1" applyFill="1" applyBorder="1" applyAlignment="1">
      <alignment wrapText="1"/>
    </xf>
    <xf numFmtId="0" fontId="39" fillId="0" borderId="5" xfId="0" applyFont="1" applyBorder="1" applyAlignment="1">
      <alignment wrapText="1"/>
    </xf>
    <xf numFmtId="0" fontId="38" fillId="0" borderId="5" xfId="0" applyFont="1" applyFill="1" applyBorder="1" applyAlignment="1" applyProtection="1">
      <alignment horizontal="left" vertical="top" wrapText="1"/>
    </xf>
    <xf numFmtId="0" fontId="3" fillId="0" borderId="4" xfId="0" applyFont="1" applyFill="1" applyBorder="1" applyAlignment="1" applyProtection="1">
      <alignment horizontal="left" vertical="top" wrapText="1"/>
    </xf>
    <xf numFmtId="0" fontId="38" fillId="0" borderId="1" xfId="0" applyFont="1" applyFill="1" applyBorder="1" applyAlignment="1" applyProtection="1">
      <alignment horizontal="left" vertical="top" wrapText="1"/>
    </xf>
    <xf numFmtId="0" fontId="39" fillId="0" borderId="0" xfId="0" applyFont="1" applyAlignment="1">
      <alignment wrapText="1"/>
    </xf>
    <xf numFmtId="0" fontId="3" fillId="0" borderId="17" xfId="0" applyFont="1" applyFill="1" applyBorder="1" applyAlignment="1" applyProtection="1">
      <alignment horizontal="center" vertical="top" wrapText="1"/>
    </xf>
    <xf numFmtId="0" fontId="3" fillId="0" borderId="18" xfId="0" applyFont="1" applyFill="1" applyBorder="1" applyAlignment="1" applyProtection="1">
      <alignment horizontal="left" vertical="top" wrapText="1"/>
    </xf>
    <xf numFmtId="0" fontId="3" fillId="0" borderId="19" xfId="0" applyFont="1" applyFill="1" applyBorder="1" applyAlignment="1" applyProtection="1">
      <alignment horizontal="left" vertical="top" wrapText="1"/>
    </xf>
    <xf numFmtId="0" fontId="3" fillId="0" borderId="3" xfId="0" applyFont="1" applyFill="1" applyBorder="1" applyAlignment="1" applyProtection="1">
      <alignment horizontal="left" vertical="top" wrapText="1"/>
    </xf>
    <xf numFmtId="0" fontId="3" fillId="0" borderId="4" xfId="0" applyFont="1" applyFill="1" applyBorder="1" applyAlignment="1" applyProtection="1">
      <alignment horizontal="center" vertical="top" wrapText="1"/>
    </xf>
    <xf numFmtId="165" fontId="5" fillId="7" borderId="5" xfId="2" applyNumberFormat="1" applyFont="1" applyFill="1" applyBorder="1" applyAlignment="1" applyProtection="1">
      <alignment horizontal="right"/>
      <protection locked="0"/>
    </xf>
    <xf numFmtId="0" fontId="32" fillId="8" borderId="1" xfId="0" applyFont="1" applyFill="1" applyBorder="1" applyAlignment="1" applyProtection="1">
      <protection locked="0"/>
    </xf>
    <xf numFmtId="0" fontId="7" fillId="8" borderId="1" xfId="0" applyFont="1" applyFill="1" applyBorder="1" applyAlignment="1" applyProtection="1">
      <alignment horizontal="center"/>
      <protection locked="0"/>
    </xf>
    <xf numFmtId="165" fontId="7" fillId="8" borderId="1" xfId="2" applyNumberFormat="1" applyFont="1" applyFill="1" applyBorder="1" applyAlignment="1" applyProtection="1">
      <alignment horizontal="right" wrapText="1"/>
      <protection locked="0"/>
    </xf>
    <xf numFmtId="0" fontId="3" fillId="0" borderId="20" xfId="0" applyFont="1" applyFill="1" applyBorder="1" applyAlignment="1" applyProtection="1">
      <alignment horizontal="left" vertical="top" wrapText="1"/>
    </xf>
    <xf numFmtId="0" fontId="38" fillId="0" borderId="2" xfId="0" applyFont="1" applyFill="1" applyBorder="1" applyAlignment="1" applyProtection="1">
      <alignment horizontal="left" vertical="top" wrapText="1"/>
    </xf>
    <xf numFmtId="0" fontId="2" fillId="4" borderId="0" xfId="0" applyFont="1" applyFill="1" applyBorder="1" applyAlignment="1" applyProtection="1">
      <alignment horizontal="center" vertical="center"/>
      <protection locked="0"/>
    </xf>
    <xf numFmtId="165" fontId="5" fillId="2" borderId="5" xfId="2" applyNumberFormat="1" applyFont="1" applyFill="1" applyBorder="1" applyAlignment="1" applyProtection="1">
      <alignment horizontal="right"/>
      <protection locked="0"/>
    </xf>
    <xf numFmtId="0" fontId="5" fillId="2" borderId="5" xfId="0" applyFont="1" applyFill="1" applyBorder="1" applyAlignment="1" applyProtection="1">
      <alignment horizontal="right"/>
      <protection locked="0"/>
    </xf>
    <xf numFmtId="165" fontId="5" fillId="5" borderId="5" xfId="0" applyNumberFormat="1" applyFont="1" applyFill="1" applyBorder="1" applyAlignment="1" applyProtection="1">
      <alignment horizontal="right"/>
      <protection locked="0"/>
    </xf>
    <xf numFmtId="0" fontId="5" fillId="0" borderId="5" xfId="0" applyFont="1" applyFill="1" applyBorder="1" applyAlignment="1" applyProtection="1">
      <alignment horizontal="right"/>
      <protection locked="0"/>
    </xf>
    <xf numFmtId="165" fontId="5" fillId="2" borderId="4" xfId="2" applyNumberFormat="1" applyFont="1" applyFill="1" applyBorder="1" applyAlignment="1" applyProtection="1">
      <alignment horizontal="right"/>
      <protection locked="0"/>
    </xf>
    <xf numFmtId="0" fontId="5" fillId="2" borderId="4" xfId="0" applyFont="1" applyFill="1" applyBorder="1" applyAlignment="1" applyProtection="1">
      <alignment horizontal="right"/>
      <protection locked="0"/>
    </xf>
    <xf numFmtId="0" fontId="3" fillId="0" borderId="1" xfId="0" applyFont="1" applyFill="1" applyBorder="1" applyAlignment="1" applyProtection="1">
      <alignment horizontal="left" vertical="center" wrapText="1"/>
    </xf>
    <xf numFmtId="165" fontId="5" fillId="2" borderId="2" xfId="2" applyNumberFormat="1" applyFont="1" applyFill="1" applyBorder="1" applyAlignment="1" applyProtection="1">
      <alignment horizontal="right"/>
      <protection locked="0"/>
    </xf>
    <xf numFmtId="0" fontId="3" fillId="2" borderId="14" xfId="0" applyFont="1" applyFill="1" applyBorder="1" applyAlignment="1" applyProtection="1">
      <alignment wrapText="1"/>
      <protection locked="0"/>
    </xf>
    <xf numFmtId="0" fontId="5" fillId="0" borderId="2" xfId="0" applyFont="1" applyFill="1" applyBorder="1" applyAlignment="1" applyProtection="1">
      <alignment horizontal="right"/>
      <protection locked="0"/>
    </xf>
    <xf numFmtId="0" fontId="5" fillId="0" borderId="14" xfId="0" applyFont="1" applyFill="1" applyBorder="1" applyAlignment="1" applyProtection="1">
      <alignment horizontal="right"/>
      <protection locked="0"/>
    </xf>
    <xf numFmtId="0" fontId="5" fillId="2" borderId="2" xfId="0" applyFont="1" applyFill="1" applyBorder="1" applyAlignment="1" applyProtection="1">
      <alignment horizontal="right"/>
      <protection locked="0"/>
    </xf>
    <xf numFmtId="0" fontId="5" fillId="0" borderId="14" xfId="0" applyFont="1" applyFill="1" applyBorder="1" applyAlignment="1" applyProtection="1">
      <alignment wrapText="1"/>
      <protection locked="0"/>
    </xf>
    <xf numFmtId="0" fontId="5" fillId="0" borderId="4" xfId="0" applyFont="1" applyFill="1" applyBorder="1" applyAlignment="1" applyProtection="1">
      <alignment horizontal="right"/>
      <protection locked="0"/>
    </xf>
    <xf numFmtId="165" fontId="5" fillId="2" borderId="10" xfId="2" applyNumberFormat="1" applyFont="1" applyFill="1" applyBorder="1" applyAlignment="1" applyProtection="1">
      <alignment horizontal="right"/>
      <protection locked="0"/>
    </xf>
    <xf numFmtId="0" fontId="5" fillId="0" borderId="3" xfId="0" applyFont="1" applyFill="1" applyBorder="1" applyAlignment="1" applyProtection="1">
      <alignment horizontal="right"/>
      <protection locked="0"/>
    </xf>
    <xf numFmtId="0" fontId="3" fillId="2" borderId="3" xfId="0" applyFont="1" applyFill="1" applyBorder="1" applyAlignment="1" applyProtection="1">
      <alignment wrapText="1"/>
      <protection locked="0"/>
    </xf>
    <xf numFmtId="0" fontId="2" fillId="0" borderId="0" xfId="0" applyFont="1" applyFill="1" applyBorder="1" applyAlignment="1" applyProtection="1">
      <alignment horizontal="center" vertical="center"/>
      <protection locked="0"/>
    </xf>
    <xf numFmtId="0" fontId="11" fillId="4" borderId="21" xfId="0" applyFont="1" applyFill="1" applyBorder="1" applyAlignment="1">
      <alignment vertical="center" wrapText="1"/>
    </xf>
    <xf numFmtId="0" fontId="33" fillId="4" borderId="0" xfId="0" applyFont="1" applyFill="1" applyBorder="1" applyAlignment="1" applyProtection="1">
      <protection locked="0"/>
    </xf>
    <xf numFmtId="0" fontId="4" fillId="4" borderId="0" xfId="0" applyFont="1" applyFill="1" applyBorder="1" applyAlignment="1" applyProtection="1">
      <alignment horizontal="center"/>
      <protection locked="0"/>
    </xf>
    <xf numFmtId="0" fontId="4" fillId="4" borderId="0" xfId="0" applyFont="1" applyFill="1" applyBorder="1" applyAlignment="1" applyProtection="1">
      <alignment horizontal="center" wrapText="1"/>
      <protection locked="0"/>
    </xf>
    <xf numFmtId="0" fontId="4" fillId="4" borderId="0" xfId="0" applyFont="1" applyFill="1" applyBorder="1" applyAlignment="1" applyProtection="1">
      <alignment horizontal="center" vertical="center" wrapText="1"/>
      <protection locked="0"/>
    </xf>
    <xf numFmtId="0" fontId="4" fillId="4" borderId="0" xfId="0" applyFont="1" applyFill="1" applyBorder="1" applyAlignment="1" applyProtection="1">
      <protection locked="0"/>
    </xf>
    <xf numFmtId="0" fontId="6" fillId="4" borderId="0" xfId="0" applyFont="1" applyFill="1" applyBorder="1" applyAlignment="1" applyProtection="1">
      <protection locked="0"/>
    </xf>
    <xf numFmtId="0" fontId="3" fillId="4" borderId="0" xfId="0" applyFont="1" applyFill="1" applyBorder="1" applyAlignment="1" applyProtection="1">
      <protection locked="0"/>
    </xf>
    <xf numFmtId="0" fontId="7" fillId="4" borderId="0" xfId="0" applyFont="1" applyFill="1" applyBorder="1" applyAlignment="1" applyProtection="1">
      <alignment horizontal="left"/>
      <protection locked="0"/>
    </xf>
    <xf numFmtId="0" fontId="15" fillId="4" borderId="0" xfId="0" applyFont="1" applyFill="1" applyBorder="1" applyAlignment="1" applyProtection="1">
      <protection locked="0"/>
    </xf>
    <xf numFmtId="0" fontId="12" fillId="0" borderId="22" xfId="0" applyFont="1" applyFill="1" applyBorder="1" applyAlignment="1" applyProtection="1">
      <alignment horizontal="left" vertical="top" wrapText="1"/>
    </xf>
    <xf numFmtId="0" fontId="4" fillId="3" borderId="0" xfId="0" applyFont="1" applyFill="1" applyBorder="1" applyAlignment="1" applyProtection="1">
      <alignment horizontal="center" vertical="center" wrapText="1"/>
      <protection locked="0"/>
    </xf>
    <xf numFmtId="0" fontId="5" fillId="0" borderId="17" xfId="4" applyFont="1" applyFill="1" applyBorder="1" applyAlignment="1" applyProtection="1">
      <alignment horizontal="center" vertical="center" wrapText="1"/>
    </xf>
    <xf numFmtId="0" fontId="5" fillId="2" borderId="10" xfId="0" applyFont="1" applyFill="1" applyBorder="1" applyAlignment="1" applyProtection="1">
      <alignment horizontal="right"/>
      <protection locked="0"/>
    </xf>
    <xf numFmtId="0" fontId="5" fillId="0" borderId="10" xfId="0" applyFont="1" applyFill="1" applyBorder="1" applyAlignment="1" applyProtection="1">
      <alignment horizontal="right"/>
      <protection locked="0"/>
    </xf>
    <xf numFmtId="0" fontId="12" fillId="0" borderId="23" xfId="0" applyFont="1" applyFill="1" applyBorder="1" applyAlignment="1" applyProtection="1">
      <alignment vertical="center" wrapText="1"/>
    </xf>
    <xf numFmtId="165" fontId="4" fillId="3" borderId="6" xfId="2" applyNumberFormat="1" applyFont="1" applyFill="1" applyBorder="1" applyAlignment="1" applyProtection="1">
      <alignment horizontal="center" wrapText="1"/>
      <protection locked="0"/>
    </xf>
    <xf numFmtId="165" fontId="4" fillId="3" borderId="1" xfId="2" applyNumberFormat="1" applyFont="1" applyFill="1" applyBorder="1" applyAlignment="1" applyProtection="1">
      <alignment horizontal="center" wrapText="1"/>
      <protection locked="0"/>
    </xf>
    <xf numFmtId="165" fontId="4" fillId="3" borderId="12" xfId="2" applyNumberFormat="1" applyFont="1" applyFill="1" applyBorder="1" applyAlignment="1" applyProtection="1">
      <alignment horizontal="center" wrapText="1"/>
      <protection locked="0"/>
    </xf>
    <xf numFmtId="0" fontId="5" fillId="3" borderId="9" xfId="0" applyFont="1" applyFill="1" applyBorder="1" applyAlignment="1" applyProtection="1">
      <alignment horizontal="center" wrapText="1"/>
      <protection locked="0"/>
    </xf>
    <xf numFmtId="0" fontId="10" fillId="3" borderId="24" xfId="0" applyFont="1" applyFill="1" applyBorder="1" applyAlignment="1">
      <alignment horizontal="center" vertical="center"/>
    </xf>
    <xf numFmtId="165" fontId="5" fillId="5" borderId="1" xfId="0" applyNumberFormat="1" applyFont="1" applyFill="1" applyBorder="1" applyAlignment="1" applyProtection="1">
      <alignment horizontal="right"/>
      <protection locked="0"/>
    </xf>
    <xf numFmtId="165" fontId="5" fillId="0" borderId="25" xfId="2" applyNumberFormat="1" applyFont="1" applyFill="1" applyBorder="1" applyAlignment="1" applyProtection="1">
      <alignment vertical="center"/>
      <protection locked="0"/>
    </xf>
    <xf numFmtId="165" fontId="5" fillId="5" borderId="12" xfId="2" applyNumberFormat="1" applyFont="1" applyFill="1" applyBorder="1" applyAlignment="1" applyProtection="1">
      <alignment vertical="center"/>
      <protection locked="0"/>
    </xf>
    <xf numFmtId="165" fontId="4" fillId="0" borderId="6" xfId="2" applyNumberFormat="1" applyFont="1" applyFill="1" applyBorder="1" applyAlignment="1" applyProtection="1">
      <alignment vertical="center"/>
      <protection locked="0"/>
    </xf>
    <xf numFmtId="165" fontId="4" fillId="0" borderId="1" xfId="2" applyNumberFormat="1" applyFont="1" applyFill="1" applyBorder="1" applyAlignment="1" applyProtection="1">
      <alignment vertical="center"/>
      <protection locked="0"/>
    </xf>
    <xf numFmtId="165" fontId="4" fillId="0" borderId="12" xfId="2" applyNumberFormat="1" applyFont="1" applyFill="1" applyBorder="1" applyAlignment="1" applyProtection="1">
      <alignment vertical="center"/>
      <protection locked="0"/>
    </xf>
    <xf numFmtId="0" fontId="12" fillId="9" borderId="1" xfId="0" applyFont="1" applyFill="1" applyBorder="1" applyAlignment="1" applyProtection="1">
      <alignment horizontal="left" vertical="top" wrapText="1"/>
    </xf>
    <xf numFmtId="164" fontId="5" fillId="0" borderId="1" xfId="2" applyFont="1" applyFill="1" applyBorder="1" applyAlignment="1" applyProtection="1">
      <alignment vertical="center"/>
      <protection locked="0"/>
    </xf>
    <xf numFmtId="0" fontId="5" fillId="2" borderId="9" xfId="0" applyFont="1" applyFill="1" applyBorder="1" applyAlignment="1" applyProtection="1">
      <alignment horizontal="right"/>
      <protection locked="0"/>
    </xf>
    <xf numFmtId="165" fontId="5" fillId="0" borderId="9" xfId="2" applyNumberFormat="1" applyFont="1" applyFill="1" applyBorder="1" applyAlignment="1" applyProtection="1">
      <alignment horizontal="right"/>
      <protection locked="0"/>
    </xf>
    <xf numFmtId="165" fontId="5" fillId="6" borderId="9" xfId="2" applyNumberFormat="1" applyFont="1" applyFill="1" applyBorder="1" applyAlignment="1" applyProtection="1">
      <alignment horizontal="right"/>
      <protection locked="0"/>
    </xf>
    <xf numFmtId="165" fontId="5" fillId="5" borderId="9" xfId="2" applyNumberFormat="1" applyFont="1" applyFill="1" applyBorder="1" applyAlignment="1" applyProtection="1">
      <alignment horizontal="right"/>
      <protection locked="0"/>
    </xf>
    <xf numFmtId="165" fontId="5" fillId="0" borderId="11" xfId="2" applyNumberFormat="1" applyFont="1" applyFill="1" applyBorder="1" applyAlignment="1" applyProtection="1">
      <alignment vertical="center"/>
      <protection locked="0"/>
    </xf>
    <xf numFmtId="0" fontId="5" fillId="0" borderId="9" xfId="0" applyFont="1" applyFill="1" applyBorder="1" applyAlignment="1" applyProtection="1">
      <alignment horizontal="right"/>
      <protection locked="0"/>
    </xf>
    <xf numFmtId="43" fontId="5" fillId="6" borderId="9" xfId="2" applyNumberFormat="1" applyFont="1" applyFill="1" applyBorder="1" applyAlignment="1" applyProtection="1">
      <alignment horizontal="right"/>
      <protection locked="0"/>
    </xf>
    <xf numFmtId="167" fontId="5" fillId="2" borderId="10" xfId="2" applyNumberFormat="1" applyFont="1" applyFill="1" applyBorder="1" applyAlignment="1" applyProtection="1">
      <alignment horizontal="right"/>
      <protection locked="0"/>
    </xf>
    <xf numFmtId="43" fontId="5" fillId="0" borderId="1" xfId="2" applyNumberFormat="1" applyFont="1" applyFill="1" applyBorder="1" applyAlignment="1" applyProtection="1">
      <alignment vertical="center"/>
      <protection locked="0"/>
    </xf>
    <xf numFmtId="165" fontId="5" fillId="5" borderId="2" xfId="0" applyNumberFormat="1" applyFont="1" applyFill="1" applyBorder="1" applyAlignment="1" applyProtection="1">
      <alignment horizontal="right"/>
      <protection locked="0"/>
    </xf>
    <xf numFmtId="164" fontId="37" fillId="5" borderId="14" xfId="2" applyFont="1" applyFill="1" applyBorder="1" applyAlignment="1" applyProtection="1">
      <alignment wrapText="1"/>
      <protection locked="0"/>
    </xf>
    <xf numFmtId="165" fontId="37" fillId="0" borderId="2" xfId="2" applyNumberFormat="1" applyFont="1" applyFill="1" applyBorder="1" applyAlignment="1" applyProtection="1">
      <alignment vertical="center"/>
      <protection locked="0"/>
    </xf>
    <xf numFmtId="165" fontId="37" fillId="0" borderId="11" xfId="2" applyNumberFormat="1" applyFont="1" applyFill="1" applyBorder="1" applyAlignment="1" applyProtection="1">
      <alignment vertical="center"/>
      <protection locked="0"/>
    </xf>
    <xf numFmtId="165" fontId="5" fillId="0" borderId="26" xfId="2" applyNumberFormat="1" applyFont="1" applyFill="1" applyBorder="1" applyAlignment="1" applyProtection="1">
      <alignment vertical="center"/>
      <protection locked="0"/>
    </xf>
    <xf numFmtId="165" fontId="5" fillId="5" borderId="4" xfId="0" applyNumberFormat="1" applyFont="1" applyFill="1" applyBorder="1" applyAlignment="1" applyProtection="1">
      <alignment horizontal="right"/>
      <protection locked="0"/>
    </xf>
    <xf numFmtId="164" fontId="5" fillId="0" borderId="4" xfId="2" applyFont="1" applyFill="1" applyBorder="1" applyAlignment="1" applyProtection="1">
      <alignment vertical="center"/>
      <protection locked="0"/>
    </xf>
    <xf numFmtId="165" fontId="5" fillId="4" borderId="2" xfId="2" applyNumberFormat="1" applyFont="1" applyFill="1" applyBorder="1" applyAlignment="1" applyProtection="1">
      <alignment vertical="center"/>
      <protection locked="0"/>
    </xf>
    <xf numFmtId="165" fontId="5" fillId="4" borderId="11" xfId="2" applyNumberFormat="1" applyFont="1" applyFill="1" applyBorder="1" applyAlignment="1" applyProtection="1">
      <alignment vertical="center"/>
      <protection locked="0"/>
    </xf>
    <xf numFmtId="165" fontId="5" fillId="4" borderId="1" xfId="2" applyNumberFormat="1" applyFont="1" applyFill="1" applyBorder="1" applyAlignment="1" applyProtection="1">
      <alignment vertical="center"/>
      <protection locked="0"/>
    </xf>
    <xf numFmtId="165" fontId="5" fillId="4" borderId="25" xfId="2" applyNumberFormat="1" applyFont="1" applyFill="1" applyBorder="1" applyAlignment="1" applyProtection="1">
      <alignment vertical="center"/>
      <protection locked="0"/>
    </xf>
    <xf numFmtId="165" fontId="5" fillId="5" borderId="10" xfId="0" applyNumberFormat="1" applyFont="1" applyFill="1" applyBorder="1" applyAlignment="1" applyProtection="1">
      <alignment horizontal="right"/>
      <protection locked="0"/>
    </xf>
    <xf numFmtId="165" fontId="7" fillId="3" borderId="2" xfId="2" applyNumberFormat="1" applyFont="1" applyFill="1" applyBorder="1" applyAlignment="1" applyProtection="1">
      <alignment horizontal="right"/>
      <protection locked="0"/>
    </xf>
    <xf numFmtId="165" fontId="7" fillId="5" borderId="2" xfId="2" applyNumberFormat="1" applyFont="1" applyFill="1" applyBorder="1" applyAlignment="1" applyProtection="1">
      <alignment horizontal="right"/>
      <protection locked="0"/>
    </xf>
    <xf numFmtId="0" fontId="34" fillId="4" borderId="0" xfId="0" applyFont="1" applyFill="1" applyBorder="1" applyAlignment="1" applyProtection="1">
      <alignment horizontal="left" vertical="center"/>
      <protection locked="0"/>
    </xf>
    <xf numFmtId="0" fontId="34" fillId="4" borderId="0" xfId="0" applyFont="1" applyFill="1" applyBorder="1" applyAlignment="1" applyProtection="1">
      <alignment vertical="center"/>
      <protection locked="0"/>
    </xf>
    <xf numFmtId="0" fontId="12" fillId="0" borderId="16" xfId="0" applyFont="1" applyFill="1" applyBorder="1" applyAlignment="1" applyProtection="1">
      <alignment vertical="center" wrapText="1"/>
    </xf>
    <xf numFmtId="0" fontId="32" fillId="3" borderId="27" xfId="0" applyFont="1" applyFill="1" applyBorder="1" applyAlignment="1" applyProtection="1">
      <alignment horizontal="left" vertical="top"/>
      <protection locked="0"/>
    </xf>
    <xf numFmtId="0" fontId="12" fillId="0" borderId="1" xfId="0" applyFont="1" applyFill="1" applyBorder="1" applyAlignment="1" applyProtection="1">
      <alignment vertical="top" wrapText="1"/>
    </xf>
    <xf numFmtId="0" fontId="13" fillId="0" borderId="1" xfId="4" applyFont="1" applyFill="1" applyBorder="1" applyAlignment="1" applyProtection="1">
      <alignment horizontal="center" vertical="center" wrapText="1"/>
    </xf>
    <xf numFmtId="0" fontId="7" fillId="3" borderId="27" xfId="0" applyFont="1" applyFill="1" applyBorder="1" applyAlignment="1" applyProtection="1">
      <alignment horizontal="center" vertical="center"/>
      <protection locked="0"/>
    </xf>
    <xf numFmtId="0" fontId="16" fillId="0" borderId="1" xfId="0" applyFont="1" applyFill="1" applyBorder="1" applyAlignment="1" applyProtection="1">
      <alignment horizontal="center" vertical="center" wrapText="1"/>
    </xf>
    <xf numFmtId="165" fontId="5" fillId="4" borderId="28" xfId="2" applyNumberFormat="1" applyFont="1" applyFill="1" applyBorder="1" applyAlignment="1" applyProtection="1">
      <alignment horizontal="center" wrapText="1"/>
      <protection locked="0"/>
    </xf>
    <xf numFmtId="165" fontId="5" fillId="4" borderId="0" xfId="2" applyNumberFormat="1" applyFont="1" applyFill="1" applyBorder="1" applyAlignment="1" applyProtection="1">
      <alignment horizontal="center" wrapText="1"/>
      <protection locked="0"/>
    </xf>
    <xf numFmtId="165" fontId="5" fillId="4" borderId="21" xfId="2" applyNumberFormat="1" applyFont="1" applyFill="1" applyBorder="1" applyAlignment="1" applyProtection="1">
      <alignment horizontal="center" wrapText="1"/>
      <protection locked="0"/>
    </xf>
    <xf numFmtId="165" fontId="5" fillId="4" borderId="29" xfId="2" applyNumberFormat="1" applyFont="1" applyFill="1" applyBorder="1" applyAlignment="1" applyProtection="1">
      <alignment horizontal="center" wrapText="1"/>
      <protection locked="0"/>
    </xf>
    <xf numFmtId="0" fontId="5" fillId="4" borderId="29" xfId="0" applyFont="1" applyFill="1" applyBorder="1" applyAlignment="1">
      <alignment horizontal="center" vertical="center"/>
    </xf>
    <xf numFmtId="165" fontId="5" fillId="4" borderId="29" xfId="2" applyNumberFormat="1" applyFont="1" applyFill="1" applyBorder="1" applyAlignment="1" applyProtection="1">
      <alignment vertical="center"/>
      <protection locked="0"/>
    </xf>
    <xf numFmtId="165" fontId="5" fillId="4" borderId="30" xfId="2" applyNumberFormat="1" applyFont="1" applyFill="1" applyBorder="1" applyAlignment="1" applyProtection="1">
      <alignment vertical="center"/>
      <protection locked="0"/>
    </xf>
    <xf numFmtId="165" fontId="5" fillId="4" borderId="24" xfId="2" applyNumberFormat="1" applyFont="1" applyFill="1" applyBorder="1" applyAlignment="1" applyProtection="1">
      <alignment vertical="center"/>
      <protection locked="0"/>
    </xf>
    <xf numFmtId="165" fontId="2" fillId="0" borderId="0" xfId="0" applyNumberFormat="1" applyFont="1" applyFill="1" applyBorder="1" applyAlignment="1" applyProtection="1">
      <protection locked="0"/>
    </xf>
    <xf numFmtId="164" fontId="2" fillId="4" borderId="0" xfId="1" applyFont="1" applyFill="1" applyBorder="1" applyAlignment="1" applyProtection="1">
      <alignment horizontal="center" vertical="center"/>
      <protection locked="0"/>
    </xf>
    <xf numFmtId="165" fontId="3" fillId="4" borderId="0" xfId="2" applyNumberFormat="1" applyFont="1" applyFill="1" applyBorder="1" applyAlignment="1" applyProtection="1">
      <alignment horizontal="center" vertical="center" wrapText="1"/>
      <protection locked="0"/>
    </xf>
    <xf numFmtId="165" fontId="2" fillId="4" borderId="0" xfId="2" applyNumberFormat="1" applyFont="1" applyFill="1" applyBorder="1" applyAlignment="1" applyProtection="1">
      <alignment horizontal="center" vertical="center" wrapText="1"/>
      <protection locked="0"/>
    </xf>
    <xf numFmtId="0" fontId="17" fillId="4" borderId="0" xfId="0" applyFont="1" applyFill="1" applyBorder="1" applyAlignment="1" applyProtection="1">
      <alignment vertical="center"/>
      <protection locked="0"/>
    </xf>
    <xf numFmtId="0" fontId="40" fillId="4" borderId="0" xfId="0" applyFont="1" applyFill="1" applyBorder="1" applyAlignment="1" applyProtection="1">
      <protection locked="0"/>
    </xf>
    <xf numFmtId="0" fontId="40" fillId="4" borderId="0" xfId="0" applyFont="1" applyFill="1" applyBorder="1" applyAlignment="1" applyProtection="1">
      <alignment vertical="center"/>
      <protection locked="0"/>
    </xf>
    <xf numFmtId="0" fontId="17" fillId="4" borderId="0" xfId="0" applyFont="1" applyFill="1" applyBorder="1" applyAlignment="1" applyProtection="1">
      <alignment horizontal="center"/>
      <protection locked="0"/>
    </xf>
    <xf numFmtId="165" fontId="17" fillId="4" borderId="0" xfId="1" applyNumberFormat="1" applyFont="1" applyFill="1" applyBorder="1" applyAlignment="1" applyProtection="1">
      <alignment horizontal="right"/>
      <protection locked="0"/>
    </xf>
    <xf numFmtId="0" fontId="17" fillId="4" borderId="0" xfId="0" applyFont="1" applyFill="1" applyBorder="1" applyAlignment="1" applyProtection="1">
      <alignment horizontal="right"/>
      <protection locked="0"/>
    </xf>
    <xf numFmtId="0" fontId="16" fillId="4" borderId="0" xfId="0" applyFont="1" applyFill="1" applyBorder="1" applyAlignment="1" applyProtection="1">
      <alignment horizontal="right"/>
      <protection locked="0"/>
    </xf>
    <xf numFmtId="165" fontId="16" fillId="4" borderId="0" xfId="1" applyNumberFormat="1" applyFont="1" applyFill="1" applyBorder="1" applyAlignment="1" applyProtection="1">
      <alignment horizontal="right" vertical="center"/>
      <protection locked="0"/>
    </xf>
    <xf numFmtId="165" fontId="16" fillId="4" borderId="0" xfId="1" applyNumberFormat="1" applyFont="1" applyFill="1" applyBorder="1" applyAlignment="1" applyProtection="1">
      <alignment horizontal="right"/>
      <protection locked="0"/>
    </xf>
    <xf numFmtId="165" fontId="16" fillId="4" borderId="0" xfId="1" applyNumberFormat="1" applyFont="1" applyFill="1" applyBorder="1" applyAlignment="1" applyProtection="1">
      <alignment horizontal="right" vertical="center" wrapText="1"/>
      <protection locked="0"/>
    </xf>
    <xf numFmtId="165" fontId="16" fillId="4" borderId="0" xfId="1" applyNumberFormat="1" applyFont="1" applyFill="1" applyBorder="1" applyAlignment="1" applyProtection="1">
      <alignment horizontal="right" wrapText="1"/>
      <protection locked="0"/>
    </xf>
    <xf numFmtId="165" fontId="14" fillId="4" borderId="0" xfId="1" applyNumberFormat="1" applyFont="1" applyFill="1" applyBorder="1" applyAlignment="1" applyProtection="1">
      <alignment horizontal="right" vertical="center" wrapText="1"/>
      <protection locked="0"/>
    </xf>
    <xf numFmtId="165" fontId="17" fillId="4" borderId="0" xfId="1" applyNumberFormat="1" applyFont="1" applyFill="1" applyBorder="1" applyAlignment="1" applyProtection="1">
      <alignment horizontal="right" wrapText="1"/>
      <protection locked="0"/>
    </xf>
    <xf numFmtId="0" fontId="17" fillId="4" borderId="0" xfId="0" applyFont="1" applyFill="1" applyBorder="1" applyAlignment="1" applyProtection="1">
      <protection locked="0"/>
    </xf>
    <xf numFmtId="164" fontId="17" fillId="4" borderId="0" xfId="1" applyFont="1" applyFill="1" applyBorder="1" applyAlignment="1" applyProtection="1">
      <protection locked="0"/>
    </xf>
    <xf numFmtId="0" fontId="14" fillId="4" borderId="0" xfId="0" applyFont="1" applyFill="1" applyBorder="1" applyAlignment="1">
      <alignment vertical="center" wrapText="1"/>
    </xf>
    <xf numFmtId="0" fontId="14" fillId="4" borderId="0" xfId="0" applyFont="1" applyFill="1" applyBorder="1" applyAlignment="1">
      <alignment wrapText="1"/>
    </xf>
    <xf numFmtId="0" fontId="41" fillId="0" borderId="0" xfId="0" applyFont="1" applyFill="1" applyBorder="1" applyAlignment="1" applyProtection="1">
      <protection locked="0"/>
    </xf>
    <xf numFmtId="164" fontId="41" fillId="0" borderId="0" xfId="1" applyFont="1" applyFill="1" applyBorder="1" applyAlignment="1" applyProtection="1">
      <protection locked="0"/>
    </xf>
    <xf numFmtId="0" fontId="19" fillId="3" borderId="24"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protection locked="0"/>
    </xf>
    <xf numFmtId="164" fontId="19" fillId="0" borderId="0" xfId="1" applyFont="1" applyFill="1" applyBorder="1" applyAlignment="1" applyProtection="1">
      <alignment horizontal="center"/>
      <protection locked="0"/>
    </xf>
    <xf numFmtId="0" fontId="19" fillId="0" borderId="0" xfId="0" applyFont="1" applyFill="1" applyBorder="1" applyAlignment="1" applyProtection="1">
      <alignment horizontal="center" wrapText="1"/>
      <protection locked="0"/>
    </xf>
    <xf numFmtId="164" fontId="19" fillId="0" borderId="0" xfId="1" applyFont="1" applyFill="1" applyBorder="1" applyAlignment="1" applyProtection="1">
      <alignment horizontal="center" wrapText="1"/>
      <protection locked="0"/>
    </xf>
    <xf numFmtId="0" fontId="19" fillId="3" borderId="9" xfId="0" applyFont="1" applyFill="1" applyBorder="1" applyAlignment="1" applyProtection="1">
      <alignment wrapText="1"/>
      <protection locked="0"/>
    </xf>
    <xf numFmtId="0" fontId="14" fillId="3" borderId="3" xfId="0" applyFont="1" applyFill="1" applyBorder="1" applyAlignment="1">
      <alignment horizontal="center" vertical="center"/>
    </xf>
    <xf numFmtId="0" fontId="14" fillId="5" borderId="3" xfId="0" applyFont="1" applyFill="1" applyBorder="1" applyAlignment="1">
      <alignment horizontal="center" vertical="center"/>
    </xf>
    <xf numFmtId="0" fontId="19" fillId="0" borderId="0" xfId="0" applyFont="1" applyFill="1" applyBorder="1" applyAlignment="1" applyProtection="1">
      <alignment horizontal="center" vertical="center" wrapText="1"/>
      <protection locked="0"/>
    </xf>
    <xf numFmtId="164" fontId="19" fillId="0" borderId="0" xfId="1" applyFont="1" applyFill="1" applyBorder="1" applyAlignment="1" applyProtection="1">
      <alignment horizontal="center" vertical="center" wrapText="1"/>
      <protection locked="0"/>
    </xf>
    <xf numFmtId="0" fontId="14" fillId="3" borderId="1" xfId="0" applyFont="1" applyFill="1" applyBorder="1" applyAlignment="1">
      <alignment horizontal="center" vertical="center"/>
    </xf>
    <xf numFmtId="0" fontId="14" fillId="3" borderId="1" xfId="0" applyFont="1" applyFill="1" applyBorder="1" applyAlignment="1">
      <alignment horizontal="center" vertical="center" wrapText="1"/>
    </xf>
    <xf numFmtId="0" fontId="16" fillId="0" borderId="1" xfId="0" applyFont="1" applyFill="1" applyBorder="1" applyAlignment="1" applyProtection="1">
      <alignment horizontal="left" vertical="top" wrapText="1"/>
    </xf>
    <xf numFmtId="0" fontId="16" fillId="4" borderId="1" xfId="0" applyFont="1" applyFill="1" applyBorder="1" applyAlignment="1" applyProtection="1">
      <alignment horizontal="center" vertical="center" wrapText="1"/>
      <protection locked="0"/>
    </xf>
    <xf numFmtId="0" fontId="19" fillId="4" borderId="1" xfId="0" applyFont="1" applyFill="1" applyBorder="1" applyAlignment="1" applyProtection="1">
      <alignment horizontal="center" vertical="center" wrapText="1"/>
      <protection locked="0"/>
    </xf>
    <xf numFmtId="0" fontId="14" fillId="4" borderId="1" xfId="0" applyFont="1" applyFill="1" applyBorder="1" applyAlignment="1">
      <alignment horizontal="center" vertical="center"/>
    </xf>
    <xf numFmtId="165" fontId="19" fillId="5" borderId="1" xfId="0" applyNumberFormat="1" applyFont="1" applyFill="1" applyBorder="1" applyAlignment="1" applyProtection="1">
      <alignment horizontal="right"/>
      <protection locked="0"/>
    </xf>
    <xf numFmtId="165" fontId="14" fillId="5" borderId="1" xfId="2" applyNumberFormat="1" applyFont="1" applyFill="1" applyBorder="1" applyAlignment="1" applyProtection="1">
      <alignment horizontal="right" vertical="center"/>
      <protection locked="0"/>
    </xf>
    <xf numFmtId="165" fontId="19" fillId="5" borderId="1" xfId="1" applyNumberFormat="1" applyFont="1" applyFill="1" applyBorder="1" applyAlignment="1" applyProtection="1">
      <alignment horizontal="right" vertical="center"/>
      <protection locked="0"/>
    </xf>
    <xf numFmtId="165" fontId="19" fillId="5" borderId="1" xfId="1" applyNumberFormat="1" applyFont="1" applyFill="1" applyBorder="1" applyAlignment="1" applyProtection="1">
      <alignment horizontal="right"/>
      <protection locked="0"/>
    </xf>
    <xf numFmtId="0" fontId="14" fillId="5" borderId="1" xfId="0" applyFont="1" applyFill="1" applyBorder="1" applyAlignment="1">
      <alignment horizontal="center" vertical="center"/>
    </xf>
    <xf numFmtId="165" fontId="14" fillId="4" borderId="1" xfId="0" applyNumberFormat="1" applyFont="1" applyFill="1" applyBorder="1" applyAlignment="1">
      <alignment horizontal="center" vertical="center"/>
    </xf>
    <xf numFmtId="0" fontId="19" fillId="4" borderId="0" xfId="0" applyFont="1" applyFill="1" applyBorder="1" applyAlignment="1" applyProtection="1">
      <alignment horizontal="center" vertical="center" wrapText="1"/>
      <protection locked="0"/>
    </xf>
    <xf numFmtId="0" fontId="14" fillId="4" borderId="3" xfId="0" applyFont="1" applyFill="1" applyBorder="1" applyAlignment="1">
      <alignment horizontal="center" vertical="center"/>
    </xf>
    <xf numFmtId="164" fontId="19" fillId="4" borderId="0" xfId="1" applyFont="1" applyFill="1" applyBorder="1" applyAlignment="1" applyProtection="1">
      <alignment horizontal="center" vertical="center" wrapText="1"/>
      <protection locked="0"/>
    </xf>
    <xf numFmtId="164" fontId="14" fillId="5" borderId="1" xfId="1" applyFont="1" applyFill="1" applyBorder="1" applyAlignment="1">
      <alignment horizontal="center" vertical="center"/>
    </xf>
    <xf numFmtId="164" fontId="14" fillId="4" borderId="1" xfId="1" applyFont="1" applyFill="1" applyBorder="1" applyAlignment="1">
      <alignment horizontal="center" vertical="center"/>
    </xf>
    <xf numFmtId="0" fontId="16" fillId="0" borderId="10" xfId="0" applyFont="1" applyFill="1" applyBorder="1" applyAlignment="1" applyProtection="1">
      <alignment horizontal="center" vertical="center" wrapText="1"/>
    </xf>
    <xf numFmtId="0" fontId="16" fillId="0" borderId="1" xfId="0" applyFont="1" applyFill="1" applyBorder="1" applyAlignment="1" applyProtection="1">
      <alignment horizontal="left" vertical="center" wrapText="1"/>
    </xf>
    <xf numFmtId="165" fontId="19" fillId="2" borderId="1" xfId="1" applyNumberFormat="1" applyFont="1" applyFill="1" applyBorder="1" applyAlignment="1" applyProtection="1">
      <alignment horizontal="right"/>
      <protection locked="0"/>
    </xf>
    <xf numFmtId="0" fontId="19" fillId="2" borderId="1" xfId="0" applyFont="1" applyFill="1" applyBorder="1" applyAlignment="1" applyProtection="1">
      <alignment horizontal="right"/>
      <protection locked="0"/>
    </xf>
    <xf numFmtId="0" fontId="19" fillId="0" borderId="1" xfId="0" applyFont="1" applyFill="1" applyBorder="1" applyAlignment="1" applyProtection="1">
      <alignment horizontal="right"/>
      <protection locked="0"/>
    </xf>
    <xf numFmtId="165" fontId="19" fillId="0" borderId="1" xfId="1" applyNumberFormat="1" applyFont="1" applyFill="1" applyBorder="1" applyAlignment="1" applyProtection="1">
      <alignment horizontal="right"/>
      <protection locked="0"/>
    </xf>
    <xf numFmtId="165" fontId="19" fillId="0" borderId="1" xfId="1" applyNumberFormat="1" applyFont="1" applyFill="1" applyBorder="1" applyAlignment="1" applyProtection="1">
      <alignment horizontal="right" vertical="center"/>
      <protection locked="0"/>
    </xf>
    <xf numFmtId="165" fontId="19" fillId="6" borderId="1" xfId="1" applyNumberFormat="1" applyFont="1" applyFill="1" applyBorder="1" applyAlignment="1" applyProtection="1">
      <alignment horizontal="right"/>
      <protection locked="0"/>
    </xf>
    <xf numFmtId="165" fontId="19" fillId="0" borderId="1" xfId="1" applyNumberFormat="1" applyFont="1" applyFill="1" applyBorder="1" applyAlignment="1" applyProtection="1">
      <alignment vertical="center"/>
      <protection locked="0"/>
    </xf>
    <xf numFmtId="0" fontId="42" fillId="5" borderId="1" xfId="0" applyFont="1" applyFill="1" applyBorder="1" applyAlignment="1" applyProtection="1">
      <alignment horizontal="left" vertical="top" wrapText="1"/>
    </xf>
    <xf numFmtId="0" fontId="19" fillId="0" borderId="0" xfId="0" applyFont="1" applyFill="1" applyBorder="1" applyAlignment="1" applyProtection="1">
      <protection locked="0"/>
    </xf>
    <xf numFmtId="164" fontId="19" fillId="0" borderId="0" xfId="1" applyFont="1" applyFill="1" applyBorder="1" applyAlignment="1" applyProtection="1">
      <protection locked="0"/>
    </xf>
    <xf numFmtId="0" fontId="20" fillId="2" borderId="1" xfId="0" applyFont="1" applyFill="1" applyBorder="1" applyAlignment="1" applyProtection="1">
      <alignment wrapText="1"/>
      <protection locked="0"/>
    </xf>
    <xf numFmtId="0" fontId="20" fillId="0" borderId="1" xfId="0" applyFont="1" applyFill="1" applyBorder="1" applyAlignment="1" applyProtection="1">
      <alignment wrapText="1"/>
      <protection locked="0"/>
    </xf>
    <xf numFmtId="0" fontId="20" fillId="0" borderId="1" xfId="0" applyFont="1" applyFill="1" applyBorder="1" applyAlignment="1" applyProtection="1">
      <alignment vertical="center" wrapText="1"/>
      <protection locked="0"/>
    </xf>
    <xf numFmtId="0" fontId="20" fillId="6" borderId="1" xfId="0" applyFont="1" applyFill="1" applyBorder="1" applyAlignment="1" applyProtection="1">
      <alignment wrapText="1"/>
      <protection locked="0"/>
    </xf>
    <xf numFmtId="0" fontId="19" fillId="5" borderId="1" xfId="0" applyFont="1" applyFill="1" applyBorder="1" applyAlignment="1" applyProtection="1">
      <alignment vertical="center" wrapText="1"/>
      <protection locked="0"/>
    </xf>
    <xf numFmtId="0" fontId="20" fillId="0" borderId="0" xfId="0" applyFont="1" applyFill="1" applyBorder="1" applyAlignment="1" applyProtection="1">
      <protection locked="0"/>
    </xf>
    <xf numFmtId="164" fontId="20" fillId="0" borderId="0" xfId="1" applyFont="1" applyFill="1" applyBorder="1" applyAlignment="1" applyProtection="1">
      <protection locked="0"/>
    </xf>
    <xf numFmtId="0" fontId="14" fillId="2" borderId="1" xfId="0" applyFont="1" applyFill="1" applyBorder="1" applyAlignment="1" applyProtection="1">
      <alignment horizontal="right"/>
      <protection locked="0"/>
    </xf>
    <xf numFmtId="0" fontId="14" fillId="0" borderId="1" xfId="0" applyFont="1" applyFill="1" applyBorder="1" applyAlignment="1" applyProtection="1">
      <alignment horizontal="right"/>
      <protection locked="0"/>
    </xf>
    <xf numFmtId="0" fontId="20" fillId="0" borderId="1" xfId="0" applyFont="1" applyFill="1" applyBorder="1" applyAlignment="1" applyProtection="1">
      <alignment horizontal="right" wrapText="1"/>
      <protection locked="0"/>
    </xf>
    <xf numFmtId="165" fontId="20" fillId="0" borderId="1" xfId="1" applyNumberFormat="1" applyFont="1" applyFill="1" applyBorder="1" applyAlignment="1" applyProtection="1">
      <alignment horizontal="right" wrapText="1"/>
      <protection locked="0"/>
    </xf>
    <xf numFmtId="165" fontId="20" fillId="0" borderId="1" xfId="1" applyNumberFormat="1" applyFont="1" applyFill="1" applyBorder="1" applyAlignment="1" applyProtection="1">
      <alignment horizontal="right" vertical="center" wrapText="1"/>
      <protection locked="0"/>
    </xf>
    <xf numFmtId="165" fontId="16" fillId="6" borderId="1" xfId="1" applyNumberFormat="1" applyFont="1" applyFill="1" applyBorder="1" applyAlignment="1" applyProtection="1">
      <alignment horizontal="right" wrapText="1"/>
      <protection locked="0"/>
    </xf>
    <xf numFmtId="165" fontId="14" fillId="5" borderId="1" xfId="1" applyNumberFormat="1" applyFont="1" applyFill="1" applyBorder="1" applyAlignment="1" applyProtection="1">
      <alignment horizontal="right" vertical="center" wrapText="1"/>
      <protection locked="0"/>
    </xf>
    <xf numFmtId="0" fontId="16" fillId="0" borderId="0" xfId="0" applyFont="1" applyFill="1" applyBorder="1" applyAlignment="1" applyProtection="1">
      <protection locked="0"/>
    </xf>
    <xf numFmtId="164" fontId="16" fillId="0" borderId="0" xfId="1" applyFont="1" applyFill="1" applyBorder="1" applyAlignment="1" applyProtection="1">
      <protection locked="0"/>
    </xf>
    <xf numFmtId="0" fontId="16" fillId="0" borderId="4" xfId="0" applyFont="1" applyFill="1" applyBorder="1" applyAlignment="1" applyProtection="1">
      <alignment horizontal="center" vertical="center" wrapText="1"/>
    </xf>
    <xf numFmtId="0" fontId="19" fillId="0" borderId="1" xfId="0" applyFont="1" applyFill="1" applyBorder="1" applyAlignment="1" applyProtection="1">
      <alignment horizontal="right" wrapText="1"/>
      <protection locked="0"/>
    </xf>
    <xf numFmtId="165" fontId="16" fillId="0" borderId="1" xfId="1" applyNumberFormat="1" applyFont="1" applyFill="1" applyBorder="1" applyAlignment="1" applyProtection="1">
      <alignment horizontal="right"/>
      <protection locked="0"/>
    </xf>
    <xf numFmtId="165" fontId="16" fillId="0" borderId="1" xfId="1" applyNumberFormat="1" applyFont="1" applyFill="1" applyBorder="1" applyAlignment="1" applyProtection="1">
      <alignment horizontal="right" vertical="center" wrapText="1"/>
      <protection locked="0"/>
    </xf>
    <xf numFmtId="164" fontId="42" fillId="0" borderId="0" xfId="1" applyFont="1" applyFill="1" applyBorder="1" applyAlignment="1" applyProtection="1">
      <protection locked="0"/>
    </xf>
    <xf numFmtId="164" fontId="42" fillId="0" borderId="0" xfId="0" applyNumberFormat="1" applyFont="1" applyFill="1" applyBorder="1" applyAlignment="1" applyProtection="1">
      <protection locked="0"/>
    </xf>
    <xf numFmtId="164" fontId="17" fillId="0" borderId="0" xfId="1" applyFont="1" applyFill="1" applyBorder="1" applyAlignment="1" applyProtection="1">
      <protection locked="0"/>
    </xf>
    <xf numFmtId="0" fontId="17" fillId="0" borderId="0" xfId="0" applyFont="1" applyFill="1" applyBorder="1" applyAlignment="1" applyProtection="1">
      <protection locked="0"/>
    </xf>
    <xf numFmtId="0" fontId="21" fillId="3" borderId="1" xfId="0" applyFont="1" applyFill="1" applyBorder="1" applyAlignment="1" applyProtection="1">
      <alignment vertical="center"/>
      <protection locked="0"/>
    </xf>
    <xf numFmtId="0" fontId="21" fillId="3" borderId="1" xfId="0" applyFont="1" applyFill="1" applyBorder="1" applyAlignment="1" applyProtection="1">
      <alignment horizontal="center"/>
      <protection locked="0"/>
    </xf>
    <xf numFmtId="165" fontId="21" fillId="3" borderId="1" xfId="1" applyNumberFormat="1" applyFont="1" applyFill="1" applyBorder="1" applyAlignment="1" applyProtection="1">
      <alignment horizontal="right"/>
      <protection locked="0"/>
    </xf>
    <xf numFmtId="0" fontId="21" fillId="3" borderId="1" xfId="0" applyFont="1" applyFill="1" applyBorder="1" applyAlignment="1" applyProtection="1">
      <alignment horizontal="right"/>
      <protection locked="0"/>
    </xf>
    <xf numFmtId="0" fontId="22" fillId="0" borderId="1" xfId="0" applyFont="1" applyFill="1" applyBorder="1" applyAlignment="1" applyProtection="1">
      <alignment horizontal="center"/>
      <protection locked="0"/>
    </xf>
    <xf numFmtId="165" fontId="14" fillId="2" borderId="1" xfId="1" applyNumberFormat="1" applyFont="1" applyFill="1" applyBorder="1" applyAlignment="1" applyProtection="1">
      <alignment horizontal="right"/>
      <protection locked="0"/>
    </xf>
    <xf numFmtId="165" fontId="14" fillId="0" borderId="1" xfId="1" applyNumberFormat="1" applyFont="1" applyFill="1" applyBorder="1" applyAlignment="1" applyProtection="1">
      <alignment horizontal="right"/>
      <protection locked="0"/>
    </xf>
    <xf numFmtId="165" fontId="14" fillId="0" borderId="1" xfId="1" applyNumberFormat="1" applyFont="1" applyFill="1" applyBorder="1" applyAlignment="1" applyProtection="1">
      <alignment horizontal="right" vertical="center"/>
      <protection locked="0"/>
    </xf>
    <xf numFmtId="165" fontId="14" fillId="6" borderId="1" xfId="1" applyNumberFormat="1" applyFont="1" applyFill="1" applyBorder="1" applyAlignment="1" applyProtection="1">
      <alignment horizontal="right"/>
      <protection locked="0"/>
    </xf>
    <xf numFmtId="165" fontId="14" fillId="5" borderId="1" xfId="1" applyNumberFormat="1" applyFont="1" applyFill="1" applyBorder="1" applyAlignment="1" applyProtection="1">
      <alignment horizontal="right" vertical="center"/>
      <protection locked="0"/>
    </xf>
    <xf numFmtId="0" fontId="43" fillId="3" borderId="1" xfId="0" applyFont="1" applyFill="1" applyBorder="1" applyAlignment="1" applyProtection="1">
      <protection locked="0"/>
    </xf>
    <xf numFmtId="0" fontId="40" fillId="3" borderId="1" xfId="0" applyFont="1" applyFill="1" applyBorder="1" applyAlignment="1" applyProtection="1">
      <alignment vertical="center"/>
      <protection locked="0"/>
    </xf>
    <xf numFmtId="0" fontId="17" fillId="0" borderId="0" xfId="0" applyFont="1" applyFill="1" applyBorder="1" applyAlignment="1" applyProtection="1">
      <alignment vertical="center"/>
      <protection locked="0"/>
    </xf>
    <xf numFmtId="0" fontId="40" fillId="0" borderId="0" xfId="0" applyFont="1" applyFill="1" applyBorder="1" applyAlignment="1" applyProtection="1">
      <protection locked="0"/>
    </xf>
    <xf numFmtId="0" fontId="40" fillId="0" borderId="0" xfId="0" applyFont="1" applyFill="1" applyBorder="1" applyAlignment="1" applyProtection="1">
      <alignment vertical="center"/>
      <protection locked="0"/>
    </xf>
    <xf numFmtId="0" fontId="17" fillId="0" borderId="0" xfId="0" applyFont="1" applyFill="1" applyBorder="1" applyAlignment="1" applyProtection="1">
      <alignment horizontal="center"/>
      <protection locked="0"/>
    </xf>
    <xf numFmtId="165" fontId="17" fillId="0" borderId="0" xfId="1" applyNumberFormat="1" applyFont="1" applyFill="1" applyBorder="1" applyAlignment="1" applyProtection="1">
      <alignment horizontal="right"/>
      <protection locked="0"/>
    </xf>
    <xf numFmtId="0" fontId="17" fillId="0" borderId="0" xfId="0" applyFont="1" applyFill="1" applyBorder="1" applyAlignment="1" applyProtection="1">
      <alignment horizontal="right"/>
      <protection locked="0"/>
    </xf>
    <xf numFmtId="0" fontId="16" fillId="0" borderId="0" xfId="0" applyFont="1" applyFill="1" applyBorder="1" applyAlignment="1" applyProtection="1">
      <alignment horizontal="right"/>
      <protection locked="0"/>
    </xf>
    <xf numFmtId="165" fontId="16" fillId="0" borderId="0" xfId="1" applyNumberFormat="1" applyFont="1" applyFill="1" applyBorder="1" applyAlignment="1" applyProtection="1">
      <alignment horizontal="right" vertical="center"/>
      <protection locked="0"/>
    </xf>
    <xf numFmtId="165" fontId="16" fillId="0" borderId="0" xfId="1" applyNumberFormat="1" applyFont="1" applyFill="1" applyBorder="1" applyAlignment="1" applyProtection="1">
      <alignment horizontal="right"/>
      <protection locked="0"/>
    </xf>
    <xf numFmtId="165" fontId="16" fillId="0" borderId="0" xfId="1" applyNumberFormat="1" applyFont="1" applyFill="1" applyBorder="1" applyAlignment="1" applyProtection="1">
      <alignment horizontal="right" vertical="center" wrapText="1"/>
      <protection locked="0"/>
    </xf>
    <xf numFmtId="165" fontId="16" fillId="0" borderId="0" xfId="1" applyNumberFormat="1" applyFont="1" applyFill="1" applyBorder="1" applyAlignment="1" applyProtection="1">
      <alignment horizontal="right" wrapText="1"/>
      <protection locked="0"/>
    </xf>
    <xf numFmtId="165" fontId="14" fillId="0" borderId="0" xfId="1" applyNumberFormat="1" applyFont="1" applyFill="1" applyBorder="1" applyAlignment="1" applyProtection="1">
      <alignment horizontal="right" vertical="center" wrapText="1"/>
      <protection locked="0"/>
    </xf>
    <xf numFmtId="165" fontId="17" fillId="0" borderId="0" xfId="1" applyNumberFormat="1" applyFont="1" applyFill="1" applyBorder="1" applyAlignment="1" applyProtection="1">
      <alignment horizontal="right" wrapText="1"/>
      <protection locked="0"/>
    </xf>
    <xf numFmtId="0" fontId="17" fillId="4" borderId="0" xfId="0" applyFont="1" applyFill="1" applyBorder="1" applyAlignment="1" applyProtection="1">
      <alignment horizontal="left"/>
      <protection locked="0"/>
    </xf>
    <xf numFmtId="0" fontId="19" fillId="3" borderId="9" xfId="0" applyFont="1" applyFill="1" applyBorder="1" applyAlignment="1" applyProtection="1">
      <alignment horizontal="left" wrapText="1"/>
      <protection locked="0"/>
    </xf>
    <xf numFmtId="0" fontId="22" fillId="0" borderId="1" xfId="0" applyFont="1" applyFill="1" applyBorder="1" applyAlignment="1" applyProtection="1">
      <alignment horizontal="left"/>
      <protection locked="0"/>
    </xf>
    <xf numFmtId="0" fontId="21" fillId="3" borderId="1" xfId="0" applyFont="1" applyFill="1" applyBorder="1" applyAlignment="1" applyProtection="1">
      <alignment horizontal="left"/>
      <protection locked="0"/>
    </xf>
    <xf numFmtId="0" fontId="17" fillId="0" borderId="0" xfId="0" applyFont="1" applyFill="1" applyBorder="1" applyAlignment="1" applyProtection="1">
      <alignment horizontal="left"/>
      <protection locked="0"/>
    </xf>
    <xf numFmtId="0" fontId="16" fillId="0" borderId="10" xfId="0" applyFont="1" applyFill="1" applyBorder="1" applyAlignment="1" applyProtection="1">
      <alignment vertical="center" wrapText="1"/>
    </xf>
    <xf numFmtId="0" fontId="16" fillId="0" borderId="22" xfId="0" applyFont="1" applyFill="1" applyBorder="1" applyAlignment="1" applyProtection="1">
      <alignment vertical="center" wrapText="1"/>
    </xf>
    <xf numFmtId="0" fontId="19" fillId="3" borderId="25" xfId="0" applyFont="1" applyFill="1" applyBorder="1" applyAlignment="1" applyProtection="1">
      <alignment vertical="center" wrapText="1"/>
      <protection locked="0"/>
    </xf>
    <xf numFmtId="0" fontId="22" fillId="0" borderId="1" xfId="0" applyFont="1" applyFill="1" applyBorder="1" applyAlignment="1" applyProtection="1">
      <alignment horizontal="left" vertical="top" wrapText="1"/>
      <protection locked="0"/>
    </xf>
    <xf numFmtId="0" fontId="22" fillId="0" borderId="1" xfId="0" applyFont="1" applyFill="1" applyBorder="1" applyAlignment="1" applyProtection="1">
      <alignment horizontal="center" vertical="top"/>
      <protection locked="0"/>
    </xf>
    <xf numFmtId="165" fontId="19" fillId="2" borderId="1" xfId="1" applyNumberFormat="1" applyFont="1" applyFill="1" applyBorder="1" applyAlignment="1" applyProtection="1">
      <alignment horizontal="right" vertical="top"/>
      <protection locked="0"/>
    </xf>
    <xf numFmtId="165" fontId="14" fillId="2" borderId="1" xfId="1" applyNumberFormat="1" applyFont="1" applyFill="1" applyBorder="1" applyAlignment="1" applyProtection="1">
      <alignment horizontal="right" vertical="top"/>
      <protection locked="0"/>
    </xf>
    <xf numFmtId="165" fontId="19" fillId="5" borderId="1" xfId="0" applyNumberFormat="1" applyFont="1" applyFill="1" applyBorder="1" applyAlignment="1" applyProtection="1">
      <alignment horizontal="right" vertical="top"/>
      <protection locked="0"/>
    </xf>
    <xf numFmtId="0" fontId="19" fillId="0" borderId="1" xfId="0" applyFont="1" applyFill="1" applyBorder="1" applyAlignment="1" applyProtection="1">
      <alignment horizontal="right" vertical="top"/>
      <protection locked="0"/>
    </xf>
    <xf numFmtId="164" fontId="5" fillId="0" borderId="9" xfId="0" applyNumberFormat="1" applyFont="1" applyFill="1" applyBorder="1" applyAlignment="1" applyProtection="1">
      <alignment horizontal="right"/>
      <protection locked="0"/>
    </xf>
    <xf numFmtId="0" fontId="5" fillId="3" borderId="9" xfId="0" applyFont="1" applyFill="1" applyBorder="1" applyAlignment="1" applyProtection="1">
      <alignment horizontal="center" vertical="center" wrapText="1"/>
      <protection locked="0"/>
    </xf>
    <xf numFmtId="165" fontId="5" fillId="0" borderId="17" xfId="2" applyNumberFormat="1" applyFont="1" applyFill="1" applyBorder="1" applyAlignment="1" applyProtection="1">
      <alignment horizontal="center" vertical="center"/>
      <protection locked="0"/>
    </xf>
    <xf numFmtId="165" fontId="5" fillId="0" borderId="22" xfId="2" applyNumberFormat="1" applyFont="1" applyFill="1" applyBorder="1" applyAlignment="1" applyProtection="1">
      <alignment horizontal="center" vertical="center"/>
      <protection locked="0"/>
    </xf>
    <xf numFmtId="165" fontId="5" fillId="0" borderId="27" xfId="2" applyNumberFormat="1" applyFont="1" applyFill="1" applyBorder="1" applyAlignment="1" applyProtection="1">
      <alignment horizontal="center" vertical="center"/>
      <protection locked="0"/>
    </xf>
    <xf numFmtId="0" fontId="4" fillId="3" borderId="24" xfId="0" applyFont="1" applyFill="1" applyBorder="1" applyAlignment="1" applyProtection="1">
      <alignment horizontal="center" vertical="center" wrapText="1"/>
      <protection locked="0"/>
    </xf>
    <xf numFmtId="0" fontId="4" fillId="3" borderId="9" xfId="0" applyFont="1" applyFill="1" applyBorder="1" applyAlignment="1" applyProtection="1">
      <alignment horizontal="center" vertical="center" wrapText="1"/>
      <protection locked="0"/>
    </xf>
    <xf numFmtId="0" fontId="4" fillId="3" borderId="16" xfId="0" applyFont="1" applyFill="1" applyBorder="1" applyAlignment="1" applyProtection="1">
      <alignment horizontal="center" vertical="center" wrapText="1"/>
      <protection locked="0"/>
    </xf>
    <xf numFmtId="165" fontId="4" fillId="3" borderId="31" xfId="2" applyNumberFormat="1" applyFont="1" applyFill="1" applyBorder="1" applyAlignment="1" applyProtection="1">
      <alignment horizontal="center" wrapText="1"/>
      <protection locked="0"/>
    </xf>
    <xf numFmtId="165" fontId="4" fillId="3" borderId="21" xfId="2" applyNumberFormat="1" applyFont="1" applyFill="1" applyBorder="1" applyAlignment="1" applyProtection="1">
      <alignment horizontal="center" wrapText="1"/>
      <protection locked="0"/>
    </xf>
    <xf numFmtId="165" fontId="4" fillId="3" borderId="32" xfId="2" applyNumberFormat="1" applyFont="1" applyFill="1" applyBorder="1" applyAlignment="1" applyProtection="1">
      <alignment horizontal="center" wrapText="1"/>
      <protection locked="0"/>
    </xf>
    <xf numFmtId="0" fontId="4" fillId="3" borderId="11" xfId="0" applyFont="1" applyFill="1" applyBorder="1" applyAlignment="1" applyProtection="1">
      <alignment horizontal="center" vertical="center" wrapText="1"/>
      <protection locked="0"/>
    </xf>
    <xf numFmtId="165" fontId="5" fillId="10" borderId="0" xfId="2" applyNumberFormat="1" applyFont="1" applyFill="1" applyBorder="1" applyAlignment="1" applyProtection="1">
      <alignment horizontal="right" wrapText="1"/>
      <protection locked="0"/>
    </xf>
    <xf numFmtId="165" fontId="37" fillId="0" borderId="0" xfId="2" applyNumberFormat="1" applyFont="1" applyFill="1" applyBorder="1" applyAlignment="1" applyProtection="1">
      <alignment horizontal="right" wrapText="1"/>
      <protection locked="0"/>
    </xf>
    <xf numFmtId="0" fontId="42" fillId="0" borderId="1" xfId="0" applyFont="1" applyFill="1" applyBorder="1" applyAlignment="1" applyProtection="1">
      <alignment horizontal="left" vertical="top" wrapText="1"/>
    </xf>
    <xf numFmtId="165" fontId="3" fillId="4" borderId="0" xfId="2" applyNumberFormat="1" applyFont="1" applyFill="1" applyBorder="1" applyAlignment="1" applyProtection="1">
      <alignment horizontal="center" wrapText="1"/>
      <protection locked="0"/>
    </xf>
    <xf numFmtId="165" fontId="3" fillId="0" borderId="0" xfId="2" applyNumberFormat="1" applyFont="1" applyFill="1" applyBorder="1" applyAlignment="1" applyProtection="1">
      <alignment horizontal="center" wrapText="1"/>
      <protection locked="0"/>
    </xf>
    <xf numFmtId="165" fontId="5" fillId="10" borderId="0" xfId="2" applyNumberFormat="1" applyFont="1" applyFill="1" applyBorder="1" applyAlignment="1" applyProtection="1">
      <alignment horizontal="center" wrapText="1"/>
      <protection locked="0"/>
    </xf>
    <xf numFmtId="0" fontId="37" fillId="4" borderId="0" xfId="0" applyFont="1" applyFill="1" applyBorder="1" applyAlignment="1" applyProtection="1">
      <protection locked="0"/>
    </xf>
    <xf numFmtId="3" fontId="4" fillId="0" borderId="6" xfId="2" applyNumberFormat="1" applyFont="1" applyFill="1" applyBorder="1" applyAlignment="1" applyProtection="1">
      <alignment vertical="center"/>
      <protection locked="0"/>
    </xf>
    <xf numFmtId="3" fontId="4" fillId="0" borderId="0" xfId="0" applyNumberFormat="1" applyFont="1" applyFill="1" applyBorder="1" applyAlignment="1" applyProtection="1">
      <protection locked="0"/>
    </xf>
    <xf numFmtId="0" fontId="14" fillId="4" borderId="29" xfId="0" applyFont="1" applyFill="1" applyBorder="1" applyAlignment="1">
      <alignment horizontal="center" vertical="center"/>
    </xf>
    <xf numFmtId="165" fontId="5" fillId="11" borderId="10" xfId="2" applyNumberFormat="1" applyFont="1" applyFill="1" applyBorder="1" applyAlignment="1" applyProtection="1">
      <alignment vertical="center"/>
      <protection locked="0"/>
    </xf>
    <xf numFmtId="0" fontId="4" fillId="0" borderId="1" xfId="0" applyFont="1" applyFill="1" applyBorder="1" applyAlignment="1" applyProtection="1">
      <protection locked="0"/>
    </xf>
    <xf numFmtId="0" fontId="6" fillId="0" borderId="1" xfId="0" applyFont="1" applyFill="1" applyBorder="1" applyAlignment="1" applyProtection="1">
      <protection locked="0"/>
    </xf>
    <xf numFmtId="165" fontId="3" fillId="12" borderId="0" xfId="2" applyNumberFormat="1" applyFont="1" applyFill="1" applyBorder="1" applyAlignment="1" applyProtection="1">
      <alignment horizontal="right" wrapText="1"/>
      <protection locked="0"/>
    </xf>
    <xf numFmtId="165" fontId="11" fillId="12" borderId="0" xfId="2" applyNumberFormat="1" applyFont="1" applyFill="1" applyBorder="1" applyAlignment="1" applyProtection="1">
      <alignment horizontal="right" wrapText="1"/>
      <protection locked="0"/>
    </xf>
    <xf numFmtId="165" fontId="23" fillId="4" borderId="0" xfId="2" applyNumberFormat="1" applyFont="1" applyFill="1" applyBorder="1" applyAlignment="1" applyProtection="1">
      <alignment horizontal="center" vertical="center" wrapText="1"/>
      <protection locked="0"/>
    </xf>
    <xf numFmtId="165" fontId="24" fillId="4" borderId="0" xfId="2" applyNumberFormat="1" applyFont="1" applyFill="1" applyBorder="1" applyAlignment="1" applyProtection="1">
      <alignment horizontal="center" vertical="center" wrapText="1"/>
      <protection locked="0"/>
    </xf>
    <xf numFmtId="0" fontId="26" fillId="13" borderId="29" xfId="0" applyFont="1" applyFill="1" applyBorder="1" applyAlignment="1" applyProtection="1">
      <alignment vertical="center" wrapText="1"/>
      <protection locked="0"/>
    </xf>
    <xf numFmtId="164" fontId="28" fillId="4" borderId="1" xfId="1" applyFont="1" applyFill="1" applyBorder="1" applyAlignment="1" applyProtection="1">
      <alignment horizontal="center" vertical="center" wrapText="1"/>
    </xf>
    <xf numFmtId="0" fontId="27" fillId="4" borderId="1" xfId="4" applyFont="1" applyFill="1" applyBorder="1" applyAlignment="1" applyProtection="1">
      <alignment vertical="center" wrapText="1"/>
    </xf>
    <xf numFmtId="0" fontId="28" fillId="4" borderId="1" xfId="0" applyFont="1" applyFill="1" applyBorder="1" applyAlignment="1" applyProtection="1">
      <alignment vertical="center" wrapText="1"/>
    </xf>
    <xf numFmtId="164" fontId="28" fillId="4" borderId="1" xfId="1" applyFont="1" applyFill="1" applyBorder="1" applyAlignment="1" applyProtection="1">
      <alignment horizontal="left" vertical="center" wrapText="1"/>
    </xf>
    <xf numFmtId="0" fontId="44" fillId="4" borderId="1" xfId="0" applyFont="1" applyFill="1" applyBorder="1" applyAlignment="1" applyProtection="1">
      <alignment vertical="center" wrapText="1"/>
    </xf>
    <xf numFmtId="164" fontId="45" fillId="14" borderId="1" xfId="1" applyFont="1" applyFill="1" applyBorder="1" applyAlignment="1" applyProtection="1">
      <alignment horizontal="center" vertical="center"/>
      <protection locked="0"/>
    </xf>
    <xf numFmtId="0" fontId="28" fillId="13" borderId="1" xfId="0" applyFont="1" applyFill="1" applyBorder="1" applyAlignment="1" applyProtection="1">
      <alignment vertical="center" wrapText="1"/>
    </xf>
    <xf numFmtId="164" fontId="29" fillId="4" borderId="1" xfId="1" applyFont="1" applyFill="1" applyBorder="1" applyAlignment="1" applyProtection="1">
      <alignment horizontal="center" vertical="center"/>
      <protection locked="0"/>
    </xf>
    <xf numFmtId="164" fontId="26" fillId="4" borderId="1" xfId="1" applyFont="1" applyFill="1" applyBorder="1" applyAlignment="1" applyProtection="1">
      <alignment horizontal="center" vertical="center"/>
      <protection locked="0"/>
    </xf>
    <xf numFmtId="0" fontId="28" fillId="14" borderId="1" xfId="0" applyFont="1" applyFill="1" applyBorder="1" applyAlignment="1" applyProtection="1">
      <alignment vertical="center" wrapText="1"/>
    </xf>
    <xf numFmtId="164" fontId="29" fillId="14" borderId="1" xfId="1" applyFont="1" applyFill="1" applyBorder="1" applyAlignment="1" applyProtection="1">
      <alignment horizontal="center" vertical="center"/>
      <protection locked="0"/>
    </xf>
    <xf numFmtId="0" fontId="18" fillId="13" borderId="1" xfId="0" applyFont="1" applyFill="1" applyBorder="1" applyAlignment="1" applyProtection="1">
      <alignment horizontal="left" vertical="center" wrapText="1"/>
    </xf>
    <xf numFmtId="0" fontId="28" fillId="4" borderId="4" xfId="0" applyFont="1" applyFill="1" applyBorder="1" applyAlignment="1" applyProtection="1">
      <alignment horizontal="center" vertical="center" wrapText="1"/>
    </xf>
    <xf numFmtId="0" fontId="28" fillId="4" borderId="10" xfId="0" applyFont="1" applyFill="1" applyBorder="1" applyAlignment="1" applyProtection="1">
      <alignment vertical="center" wrapText="1"/>
    </xf>
    <xf numFmtId="0" fontId="18" fillId="13" borderId="1" xfId="0" applyFont="1" applyFill="1" applyBorder="1" applyAlignment="1" applyProtection="1">
      <alignment vertical="center" wrapText="1"/>
    </xf>
    <xf numFmtId="0" fontId="27" fillId="14" borderId="1" xfId="0" applyFont="1" applyFill="1" applyBorder="1" applyAlignment="1" applyProtection="1">
      <alignment horizontal="left" vertical="center" wrapText="1"/>
    </xf>
    <xf numFmtId="0" fontId="25" fillId="13" borderId="1" xfId="0" applyFont="1" applyFill="1" applyBorder="1" applyAlignment="1" applyProtection="1">
      <alignment vertical="center"/>
      <protection locked="0"/>
    </xf>
    <xf numFmtId="164" fontId="25" fillId="13" borderId="1" xfId="1" applyFont="1" applyFill="1" applyBorder="1" applyAlignment="1" applyProtection="1">
      <alignment horizontal="center" vertical="center"/>
      <protection locked="0"/>
    </xf>
    <xf numFmtId="164" fontId="25" fillId="5" borderId="1" xfId="1" applyFont="1" applyFill="1" applyBorder="1" applyAlignment="1" applyProtection="1">
      <alignment horizontal="center" vertical="center"/>
      <protection locked="0"/>
    </xf>
    <xf numFmtId="0" fontId="24" fillId="4" borderId="0" xfId="0" applyFont="1" applyFill="1" applyBorder="1" applyAlignment="1" applyProtection="1">
      <alignment vertical="center"/>
      <protection locked="0"/>
    </xf>
    <xf numFmtId="0" fontId="46" fillId="4" borderId="0" xfId="0" applyFont="1" applyFill="1" applyBorder="1" applyAlignment="1" applyProtection="1">
      <alignment horizontal="left" vertical="center"/>
      <protection locked="0"/>
    </xf>
    <xf numFmtId="0" fontId="46" fillId="4" borderId="0" xfId="0" applyFont="1" applyFill="1" applyBorder="1" applyAlignment="1" applyProtection="1">
      <alignment vertical="center"/>
      <protection locked="0"/>
    </xf>
    <xf numFmtId="164" fontId="24" fillId="4" borderId="0" xfId="1" applyFont="1" applyFill="1" applyBorder="1" applyAlignment="1" applyProtection="1">
      <alignment horizontal="center" vertical="center"/>
      <protection locked="0"/>
    </xf>
    <xf numFmtId="9" fontId="23" fillId="4" borderId="0" xfId="6" applyFont="1" applyFill="1" applyBorder="1" applyAlignment="1" applyProtection="1">
      <alignment horizontal="center" vertical="center" wrapText="1"/>
      <protection locked="0"/>
    </xf>
    <xf numFmtId="9" fontId="24" fillId="4" borderId="0" xfId="6" applyFont="1" applyFill="1" applyBorder="1" applyAlignment="1" applyProtection="1">
      <alignment horizontal="center" vertical="center" wrapText="1"/>
      <protection locked="0"/>
    </xf>
    <xf numFmtId="164" fontId="24" fillId="4" borderId="1" xfId="1" applyFont="1" applyFill="1" applyBorder="1" applyAlignment="1" applyProtection="1">
      <alignment horizontal="center" vertical="center"/>
      <protection locked="0"/>
    </xf>
    <xf numFmtId="164" fontId="24" fillId="15" borderId="0" xfId="1" applyFont="1" applyFill="1" applyBorder="1" applyAlignment="1" applyProtection="1">
      <alignment horizontal="center" vertical="center"/>
      <protection locked="0"/>
    </xf>
    <xf numFmtId="165" fontId="23" fillId="4" borderId="1" xfId="2" applyNumberFormat="1" applyFont="1" applyFill="1" applyBorder="1" applyAlignment="1" applyProtection="1">
      <alignment horizontal="center" vertical="center" wrapText="1"/>
      <protection locked="0"/>
    </xf>
    <xf numFmtId="9" fontId="23" fillId="4" borderId="1" xfId="6"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9" fillId="4" borderId="1" xfId="0" applyFont="1" applyFill="1" applyBorder="1" applyAlignment="1" applyProtection="1">
      <alignment horizontal="center" vertical="center" wrapText="1"/>
      <protection locked="0"/>
    </xf>
    <xf numFmtId="0" fontId="28" fillId="4" borderId="4" xfId="0" applyFont="1" applyFill="1" applyBorder="1" applyAlignment="1" applyProtection="1">
      <alignment horizontal="center" vertical="center" wrapText="1"/>
    </xf>
    <xf numFmtId="0" fontId="28" fillId="4" borderId="1" xfId="0" applyFont="1" applyFill="1" applyBorder="1" applyAlignment="1" applyProtection="1">
      <alignment horizontal="left" vertical="center" wrapText="1"/>
    </xf>
    <xf numFmtId="0" fontId="28" fillId="4" borderId="10" xfId="0" applyFont="1" applyFill="1" applyBorder="1" applyAlignment="1" applyProtection="1">
      <alignment vertical="center" wrapText="1"/>
    </xf>
    <xf numFmtId="0" fontId="28" fillId="4" borderId="10" xfId="0" applyFont="1" applyFill="1" applyBorder="1" applyAlignment="1" applyProtection="1">
      <alignment horizontal="left" vertical="center" wrapText="1"/>
    </xf>
    <xf numFmtId="0" fontId="28" fillId="4" borderId="4" xfId="0" applyFont="1" applyFill="1" applyBorder="1" applyAlignment="1" applyProtection="1">
      <alignment horizontal="left" vertical="center" wrapText="1"/>
    </xf>
    <xf numFmtId="0" fontId="28" fillId="4" borderId="22" xfId="0" applyFont="1" applyFill="1" applyBorder="1" applyAlignment="1" applyProtection="1">
      <alignment horizontal="left" vertical="center" wrapText="1"/>
    </xf>
    <xf numFmtId="0" fontId="28" fillId="4" borderId="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164" fontId="16" fillId="4" borderId="0" xfId="2" applyFont="1" applyFill="1" applyBorder="1" applyAlignment="1" applyProtection="1">
      <alignment horizontal="right" wrapText="1"/>
      <protection locked="0"/>
    </xf>
    <xf numFmtId="164" fontId="19" fillId="0" borderId="1" xfId="2" applyFont="1" applyFill="1" applyBorder="1" applyAlignment="1" applyProtection="1">
      <alignment vertical="center"/>
      <protection locked="0"/>
    </xf>
    <xf numFmtId="164" fontId="14" fillId="4" borderId="1" xfId="2" applyFont="1" applyFill="1" applyBorder="1" applyAlignment="1">
      <alignment horizontal="center" vertical="center"/>
    </xf>
    <xf numFmtId="164" fontId="16" fillId="0" borderId="0" xfId="2" applyFont="1" applyFill="1" applyBorder="1" applyAlignment="1" applyProtection="1">
      <alignment horizontal="right" wrapText="1"/>
      <protection locked="0"/>
    </xf>
    <xf numFmtId="0" fontId="16" fillId="0" borderId="10" xfId="0" applyFont="1" applyFill="1" applyBorder="1" applyAlignment="1" applyProtection="1">
      <alignment vertical="top" wrapText="1"/>
    </xf>
    <xf numFmtId="165" fontId="19" fillId="4" borderId="1" xfId="1" applyNumberFormat="1" applyFont="1" applyFill="1" applyBorder="1" applyAlignment="1" applyProtection="1">
      <alignment horizontal="right"/>
      <protection locked="0"/>
    </xf>
    <xf numFmtId="0" fontId="19" fillId="4" borderId="1" xfId="0" applyFont="1" applyFill="1" applyBorder="1" applyAlignment="1" applyProtection="1">
      <alignment horizontal="right"/>
      <protection locked="0"/>
    </xf>
    <xf numFmtId="0" fontId="14" fillId="5" borderId="9" xfId="0" applyFont="1" applyFill="1" applyBorder="1" applyAlignment="1">
      <alignment horizontal="center" vertical="center"/>
    </xf>
    <xf numFmtId="0" fontId="24" fillId="4" borderId="0" xfId="0" applyFont="1" applyFill="1" applyBorder="1" applyAlignment="1" applyProtection="1">
      <alignment horizontal="center" vertical="center"/>
      <protection locked="0"/>
    </xf>
    <xf numFmtId="0" fontId="24" fillId="4" borderId="1" xfId="0" applyFont="1" applyFill="1" applyBorder="1" applyAlignment="1" applyProtection="1">
      <alignment horizontal="center" vertical="center"/>
      <protection locked="0"/>
    </xf>
    <xf numFmtId="0" fontId="19" fillId="16" borderId="33" xfId="0" applyFont="1" applyFill="1" applyBorder="1" applyAlignment="1" applyProtection="1">
      <alignment horizontal="center" vertical="center" wrapText="1"/>
      <protection locked="0"/>
    </xf>
    <xf numFmtId="0" fontId="19" fillId="16" borderId="29" xfId="0" applyFont="1" applyFill="1" applyBorder="1" applyAlignment="1" applyProtection="1">
      <alignment horizontal="center" vertical="center" wrapText="1"/>
      <protection locked="0"/>
    </xf>
    <xf numFmtId="0" fontId="16" fillId="16" borderId="29" xfId="0" applyFont="1" applyFill="1" applyBorder="1" applyAlignment="1" applyProtection="1">
      <alignment horizontal="left" vertical="top" wrapText="1"/>
    </xf>
    <xf numFmtId="0" fontId="16" fillId="16" borderId="29" xfId="0" applyFont="1" applyFill="1" applyBorder="1" applyAlignment="1" applyProtection="1">
      <alignment horizontal="center" vertical="center" wrapText="1"/>
      <protection locked="0"/>
    </xf>
    <xf numFmtId="0" fontId="19" fillId="16" borderId="1" xfId="0" applyFont="1" applyFill="1" applyBorder="1" applyAlignment="1" applyProtection="1">
      <alignment horizontal="center" vertical="center" wrapText="1"/>
      <protection locked="0"/>
    </xf>
    <xf numFmtId="0" fontId="14" fillId="16" borderId="1" xfId="0" applyFont="1" applyFill="1" applyBorder="1" applyAlignment="1">
      <alignment horizontal="center" vertical="center"/>
    </xf>
    <xf numFmtId="165" fontId="19" fillId="16" borderId="1" xfId="0" applyNumberFormat="1" applyFont="1" applyFill="1" applyBorder="1" applyAlignment="1" applyProtection="1">
      <alignment horizontal="right"/>
      <protection locked="0"/>
    </xf>
    <xf numFmtId="165" fontId="14" fillId="16" borderId="1" xfId="2" applyNumberFormat="1" applyFont="1" applyFill="1" applyBorder="1" applyAlignment="1" applyProtection="1">
      <alignment horizontal="right" vertical="center"/>
      <protection locked="0"/>
    </xf>
    <xf numFmtId="0" fontId="3" fillId="0" borderId="5" xfId="0" applyFont="1" applyBorder="1" applyAlignment="1">
      <alignment wrapText="1"/>
    </xf>
    <xf numFmtId="0" fontId="3" fillId="0" borderId="2" xfId="0" applyFont="1" applyBorder="1" applyAlignment="1">
      <alignment wrapText="1"/>
    </xf>
    <xf numFmtId="164" fontId="28" fillId="4" borderId="10" xfId="1" applyFont="1" applyFill="1" applyBorder="1" applyAlignment="1" applyProtection="1">
      <alignment horizontal="center" vertical="center" wrapText="1"/>
    </xf>
    <xf numFmtId="164" fontId="29" fillId="4" borderId="4" xfId="1" applyFont="1" applyFill="1" applyBorder="1" applyAlignment="1" applyProtection="1">
      <alignment horizontal="center" vertical="center"/>
      <protection locked="0"/>
    </xf>
    <xf numFmtId="0" fontId="28" fillId="4" borderId="5" xfId="0" applyFont="1" applyFill="1" applyBorder="1" applyAlignment="1" applyProtection="1">
      <alignment horizontal="left" vertical="center" wrapText="1"/>
    </xf>
    <xf numFmtId="164" fontId="28" fillId="4" borderId="5" xfId="1" applyFont="1" applyFill="1" applyBorder="1" applyAlignment="1" applyProtection="1">
      <alignment horizontal="center" vertical="center" wrapText="1"/>
    </xf>
    <xf numFmtId="164" fontId="28" fillId="4" borderId="13" xfId="1" applyFont="1" applyFill="1" applyBorder="1" applyAlignment="1" applyProtection="1">
      <alignment horizontal="center" vertical="center" wrapText="1"/>
    </xf>
    <xf numFmtId="164" fontId="28" fillId="4" borderId="12" xfId="1" applyFont="1" applyFill="1" applyBorder="1" applyAlignment="1" applyProtection="1">
      <alignment horizontal="center" vertical="center" wrapText="1"/>
    </xf>
    <xf numFmtId="164" fontId="28" fillId="5" borderId="12" xfId="1" applyFont="1" applyFill="1" applyBorder="1" applyAlignment="1" applyProtection="1">
      <alignment horizontal="center" vertical="center" wrapText="1"/>
    </xf>
    <xf numFmtId="0" fontId="28" fillId="4" borderId="2" xfId="0" applyFont="1" applyFill="1" applyBorder="1" applyAlignment="1" applyProtection="1">
      <alignment horizontal="left" vertical="center" wrapText="1"/>
    </xf>
    <xf numFmtId="164" fontId="28" fillId="4" borderId="2" xfId="1" applyFont="1" applyFill="1" applyBorder="1" applyAlignment="1" applyProtection="1">
      <alignment horizontal="center" vertical="center" wrapText="1"/>
    </xf>
    <xf numFmtId="164" fontId="28" fillId="4" borderId="34" xfId="1" applyFont="1" applyFill="1" applyBorder="1" applyAlignment="1" applyProtection="1">
      <alignment horizontal="center" vertical="center" wrapText="1"/>
    </xf>
    <xf numFmtId="0" fontId="47" fillId="3" borderId="1" xfId="0" applyFont="1" applyFill="1" applyBorder="1" applyAlignment="1" applyProtection="1">
      <alignment vertical="center"/>
      <protection locked="0"/>
    </xf>
    <xf numFmtId="0" fontId="48" fillId="3" borderId="1" xfId="0" applyFont="1" applyFill="1" applyBorder="1" applyAlignment="1" applyProtection="1">
      <alignment vertical="center"/>
      <protection locked="0"/>
    </xf>
    <xf numFmtId="0" fontId="47" fillId="3" borderId="1" xfId="0" applyFont="1" applyFill="1" applyBorder="1" applyAlignment="1" applyProtection="1">
      <alignment horizontal="center"/>
      <protection locked="0"/>
    </xf>
    <xf numFmtId="165" fontId="47" fillId="3" borderId="1" xfId="1" applyNumberFormat="1" applyFont="1" applyFill="1" applyBorder="1" applyAlignment="1" applyProtection="1">
      <alignment horizontal="right"/>
      <protection locked="0"/>
    </xf>
    <xf numFmtId="0" fontId="47" fillId="3" borderId="1" xfId="0" applyFont="1" applyFill="1" applyBorder="1" applyAlignment="1" applyProtection="1">
      <alignment horizontal="right"/>
      <protection locked="0"/>
    </xf>
    <xf numFmtId="165" fontId="49" fillId="5" borderId="1" xfId="0" applyNumberFormat="1" applyFont="1" applyFill="1" applyBorder="1" applyAlignment="1" applyProtection="1">
      <alignment horizontal="right"/>
      <protection locked="0"/>
    </xf>
    <xf numFmtId="164" fontId="48" fillId="0" borderId="0" xfId="1" applyFont="1" applyFill="1" applyBorder="1" applyAlignment="1" applyProtection="1">
      <protection locked="0"/>
    </xf>
    <xf numFmtId="0" fontId="48" fillId="0" borderId="0" xfId="0" applyFont="1" applyFill="1" applyBorder="1" applyAlignment="1" applyProtection="1">
      <protection locked="0"/>
    </xf>
    <xf numFmtId="0" fontId="5" fillId="16" borderId="1" xfId="0" applyFont="1" applyFill="1" applyBorder="1" applyAlignment="1" applyProtection="1">
      <alignment horizontal="center" vertical="center" wrapText="1"/>
      <protection locked="0"/>
    </xf>
    <xf numFmtId="0" fontId="3" fillId="16" borderId="1" xfId="0" applyFont="1" applyFill="1" applyBorder="1" applyAlignment="1" applyProtection="1">
      <alignment horizontal="center" vertical="center" wrapText="1"/>
    </xf>
    <xf numFmtId="0" fontId="3" fillId="16" borderId="1" xfId="0" applyFont="1" applyFill="1" applyBorder="1" applyAlignment="1" applyProtection="1">
      <alignment horizontal="left" vertical="center" wrapText="1"/>
    </xf>
    <xf numFmtId="0" fontId="12" fillId="17" borderId="0" xfId="0" applyFont="1" applyFill="1" applyBorder="1" applyAlignment="1" applyProtection="1">
      <alignment horizontal="left" vertical="top" wrapText="1"/>
    </xf>
    <xf numFmtId="0" fontId="12" fillId="17" borderId="35" xfId="0" applyFont="1" applyFill="1" applyBorder="1" applyAlignment="1" applyProtection="1">
      <alignment horizontal="left" vertical="top" wrapText="1"/>
    </xf>
    <xf numFmtId="165" fontId="5" fillId="17" borderId="1" xfId="0" applyNumberFormat="1" applyFont="1" applyFill="1" applyBorder="1" applyAlignment="1" applyProtection="1">
      <alignment horizontal="right"/>
      <protection locked="0"/>
    </xf>
    <xf numFmtId="165" fontId="5" fillId="17" borderId="9" xfId="2" applyNumberFormat="1" applyFont="1" applyFill="1" applyBorder="1" applyAlignment="1" applyProtection="1">
      <alignment horizontal="right"/>
      <protection locked="0"/>
    </xf>
    <xf numFmtId="3" fontId="10" fillId="3" borderId="36" xfId="0" applyNumberFormat="1" applyFont="1" applyFill="1" applyBorder="1" applyAlignment="1">
      <alignment horizontal="center" vertical="center"/>
    </xf>
    <xf numFmtId="3" fontId="10" fillId="3" borderId="19" xfId="0" applyNumberFormat="1" applyFont="1" applyFill="1" applyBorder="1" applyAlignment="1">
      <alignment horizontal="center" vertical="center"/>
    </xf>
    <xf numFmtId="3" fontId="10" fillId="3" borderId="32" xfId="0" applyNumberFormat="1" applyFont="1" applyFill="1" applyBorder="1" applyAlignment="1">
      <alignment horizontal="center" vertical="center"/>
    </xf>
    <xf numFmtId="0" fontId="4" fillId="17" borderId="1" xfId="0" applyFont="1" applyFill="1" applyBorder="1" applyAlignment="1" applyProtection="1">
      <alignment horizontal="center" vertical="center" wrapText="1"/>
      <protection locked="0"/>
    </xf>
    <xf numFmtId="0" fontId="12" fillId="17" borderId="1" xfId="0" applyFont="1" applyFill="1" applyBorder="1" applyAlignment="1" applyProtection="1">
      <alignment horizontal="left" vertical="top" wrapText="1"/>
    </xf>
    <xf numFmtId="0" fontId="5" fillId="17" borderId="1" xfId="0" applyFont="1" applyFill="1" applyBorder="1" applyAlignment="1" applyProtection="1">
      <alignment horizontal="center" vertical="center" wrapText="1"/>
      <protection locked="0"/>
    </xf>
    <xf numFmtId="0" fontId="10" fillId="17" borderId="1" xfId="0" applyFont="1" applyFill="1" applyBorder="1" applyAlignment="1">
      <alignment horizontal="center" vertical="center"/>
    </xf>
    <xf numFmtId="0" fontId="12" fillId="17" borderId="0" xfId="0" applyFont="1" applyFill="1" applyBorder="1" applyAlignment="1" applyProtection="1">
      <alignment vertical="center" wrapText="1"/>
    </xf>
    <xf numFmtId="0" fontId="13" fillId="17" borderId="0" xfId="4" applyFont="1" applyFill="1" applyBorder="1" applyAlignment="1" applyProtection="1">
      <alignment horizontal="center" vertical="center" wrapText="1"/>
    </xf>
    <xf numFmtId="0" fontId="12" fillId="17" borderId="9" xfId="0" applyFont="1" applyFill="1" applyBorder="1" applyAlignment="1" applyProtection="1">
      <alignment horizontal="left" vertical="top" wrapText="1"/>
    </xf>
    <xf numFmtId="0" fontId="5" fillId="17" borderId="9" xfId="0" applyFont="1" applyFill="1" applyBorder="1" applyAlignment="1" applyProtection="1">
      <alignment horizontal="right"/>
      <protection locked="0"/>
    </xf>
    <xf numFmtId="0" fontId="12" fillId="17" borderId="23" xfId="0" applyFont="1" applyFill="1" applyBorder="1" applyAlignment="1" applyProtection="1">
      <alignment vertical="center" wrapText="1"/>
    </xf>
    <xf numFmtId="0" fontId="13" fillId="17" borderId="22" xfId="4" applyFont="1" applyFill="1" applyBorder="1" applyAlignment="1" applyProtection="1">
      <alignment vertical="center" wrapText="1"/>
    </xf>
    <xf numFmtId="0" fontId="12" fillId="17" borderId="22" xfId="0" applyFont="1" applyFill="1" applyBorder="1" applyAlignment="1" applyProtection="1">
      <alignment vertical="top" wrapText="1"/>
    </xf>
    <xf numFmtId="0" fontId="12" fillId="17" borderId="2" xfId="0" applyFont="1" applyFill="1" applyBorder="1" applyAlignment="1" applyProtection="1">
      <alignment horizontal="left" vertical="top" wrapText="1"/>
    </xf>
    <xf numFmtId="165" fontId="5" fillId="17" borderId="2" xfId="2" applyNumberFormat="1" applyFont="1" applyFill="1" applyBorder="1" applyAlignment="1" applyProtection="1">
      <alignment horizontal="right"/>
      <protection locked="0"/>
    </xf>
    <xf numFmtId="0" fontId="3" fillId="17" borderId="14" xfId="0" applyFont="1" applyFill="1" applyBorder="1" applyAlignment="1" applyProtection="1">
      <alignment wrapText="1"/>
      <protection locked="0"/>
    </xf>
    <xf numFmtId="165" fontId="5" fillId="17" borderId="10" xfId="0" applyNumberFormat="1" applyFont="1" applyFill="1" applyBorder="1" applyAlignment="1" applyProtection="1">
      <alignment horizontal="right"/>
      <protection locked="0"/>
    </xf>
    <xf numFmtId="0" fontId="6" fillId="17" borderId="0" xfId="0" applyFont="1" applyFill="1" applyBorder="1" applyAlignment="1" applyProtection="1">
      <protection locked="0"/>
    </xf>
    <xf numFmtId="0" fontId="19" fillId="17" borderId="4" xfId="0" applyFont="1" applyFill="1" applyBorder="1" applyAlignment="1" applyProtection="1">
      <alignment horizontal="center" vertical="center" wrapText="1"/>
      <protection locked="0"/>
    </xf>
    <xf numFmtId="0" fontId="16" fillId="17" borderId="1" xfId="0" applyFont="1" applyFill="1" applyBorder="1" applyAlignment="1" applyProtection="1">
      <alignment horizontal="left" vertical="top" wrapText="1"/>
    </xf>
    <xf numFmtId="0" fontId="16" fillId="17" borderId="1" xfId="0" applyFont="1" applyFill="1" applyBorder="1" applyAlignment="1" applyProtection="1">
      <alignment horizontal="center" vertical="center" wrapText="1"/>
      <protection locked="0"/>
    </xf>
    <xf numFmtId="0" fontId="19" fillId="17" borderId="1" xfId="0" applyFont="1" applyFill="1" applyBorder="1" applyAlignment="1" applyProtection="1">
      <alignment horizontal="center" vertical="center" wrapText="1"/>
      <protection locked="0"/>
    </xf>
    <xf numFmtId="0" fontId="14" fillId="17" borderId="1" xfId="0" applyFont="1" applyFill="1" applyBorder="1" applyAlignment="1">
      <alignment horizontal="center" vertical="center"/>
    </xf>
    <xf numFmtId="165" fontId="19" fillId="17" borderId="1" xfId="0" applyNumberFormat="1" applyFont="1" applyFill="1" applyBorder="1" applyAlignment="1" applyProtection="1">
      <alignment horizontal="right"/>
      <protection locked="0"/>
    </xf>
    <xf numFmtId="165" fontId="14" fillId="17" borderId="1" xfId="2" applyNumberFormat="1" applyFont="1" applyFill="1" applyBorder="1" applyAlignment="1" applyProtection="1">
      <alignment horizontal="right" vertical="center"/>
      <protection locked="0"/>
    </xf>
    <xf numFmtId="165" fontId="19" fillId="17" borderId="1" xfId="1" applyNumberFormat="1" applyFont="1" applyFill="1" applyBorder="1" applyAlignment="1" applyProtection="1">
      <alignment horizontal="right"/>
      <protection locked="0"/>
    </xf>
    <xf numFmtId="164" fontId="37" fillId="17" borderId="0" xfId="1" applyFont="1" applyFill="1" applyBorder="1" applyAlignment="1" applyProtection="1">
      <protection locked="0"/>
    </xf>
    <xf numFmtId="164" fontId="2" fillId="4" borderId="0" xfId="0" applyNumberFormat="1" applyFont="1" applyFill="1" applyBorder="1" applyAlignment="1" applyProtection="1">
      <protection locked="0"/>
    </xf>
    <xf numFmtId="164" fontId="7" fillId="17" borderId="0" xfId="1" applyFont="1" applyFill="1" applyBorder="1" applyAlignment="1" applyProtection="1">
      <protection locked="0"/>
    </xf>
    <xf numFmtId="164" fontId="7" fillId="17" borderId="0" xfId="1" applyFont="1" applyFill="1" applyBorder="1" applyAlignment="1" applyProtection="1">
      <alignment horizontal="left"/>
      <protection locked="0"/>
    </xf>
    <xf numFmtId="0" fontId="16" fillId="17" borderId="33" xfId="0" applyFont="1" applyFill="1" applyBorder="1" applyAlignment="1" applyProtection="1">
      <alignment horizontal="center" vertical="center" wrapText="1"/>
    </xf>
    <xf numFmtId="0" fontId="16" fillId="17" borderId="1" xfId="0" applyFont="1" applyFill="1" applyBorder="1" applyAlignment="1" applyProtection="1">
      <alignment horizontal="center" vertical="center" wrapText="1"/>
    </xf>
    <xf numFmtId="0" fontId="16" fillId="17" borderId="1" xfId="0" applyFont="1" applyFill="1" applyBorder="1" applyAlignment="1" applyProtection="1">
      <alignment horizontal="left" vertical="center" wrapText="1"/>
    </xf>
    <xf numFmtId="0" fontId="20" fillId="17" borderId="1" xfId="0" applyFont="1" applyFill="1" applyBorder="1" applyAlignment="1" applyProtection="1">
      <alignment wrapText="1"/>
      <protection locked="0"/>
    </xf>
    <xf numFmtId="164" fontId="15" fillId="4" borderId="0" xfId="0" applyNumberFormat="1" applyFont="1" applyFill="1" applyBorder="1" applyAlignment="1" applyProtection="1">
      <protection locked="0"/>
    </xf>
    <xf numFmtId="0" fontId="17" fillId="12" borderId="0" xfId="0" applyFont="1" applyFill="1" applyBorder="1" applyAlignment="1" applyProtection="1">
      <alignment vertical="center"/>
      <protection locked="0"/>
    </xf>
    <xf numFmtId="0" fontId="40" fillId="12" borderId="0" xfId="0" applyFont="1" applyFill="1" applyBorder="1" applyAlignment="1" applyProtection="1">
      <protection locked="0"/>
    </xf>
    <xf numFmtId="0" fontId="40" fillId="12" borderId="0" xfId="0" applyFont="1" applyFill="1" applyBorder="1" applyAlignment="1" applyProtection="1">
      <alignment vertical="center"/>
      <protection locked="0"/>
    </xf>
    <xf numFmtId="0" fontId="17" fillId="12" borderId="0" xfId="0" applyFont="1" applyFill="1" applyBorder="1" applyAlignment="1" applyProtection="1">
      <alignment horizontal="left"/>
      <protection locked="0"/>
    </xf>
    <xf numFmtId="0" fontId="17" fillId="12" borderId="0" xfId="0" applyFont="1" applyFill="1" applyBorder="1" applyAlignment="1" applyProtection="1">
      <alignment horizontal="center"/>
      <protection locked="0"/>
    </xf>
    <xf numFmtId="165" fontId="17" fillId="12" borderId="0" xfId="1" applyNumberFormat="1" applyFont="1" applyFill="1" applyBorder="1" applyAlignment="1" applyProtection="1">
      <alignment horizontal="right"/>
      <protection locked="0"/>
    </xf>
    <xf numFmtId="0" fontId="17" fillId="12" borderId="0" xfId="0" applyFont="1" applyFill="1" applyBorder="1" applyAlignment="1" applyProtection="1">
      <alignment horizontal="right"/>
      <protection locked="0"/>
    </xf>
    <xf numFmtId="0" fontId="14" fillId="4" borderId="1" xfId="0" applyFont="1" applyFill="1" applyBorder="1" applyAlignment="1" applyProtection="1">
      <alignment horizontal="left" vertical="top" wrapText="1"/>
    </xf>
    <xf numFmtId="0" fontId="40" fillId="0" borderId="1" xfId="0" applyFont="1" applyFill="1" applyBorder="1" applyAlignment="1" applyProtection="1">
      <alignment horizontal="center" vertical="center"/>
      <protection locked="0"/>
    </xf>
    <xf numFmtId="165" fontId="16" fillId="0" borderId="1" xfId="1" applyNumberFormat="1" applyFont="1" applyFill="1" applyBorder="1" applyAlignment="1" applyProtection="1">
      <alignment horizontal="center" vertical="center"/>
      <protection locked="0"/>
    </xf>
    <xf numFmtId="165" fontId="19" fillId="5" borderId="1" xfId="1" applyNumberFormat="1" applyFont="1" applyFill="1" applyBorder="1" applyAlignment="1" applyProtection="1">
      <alignment horizontal="center" vertical="center"/>
      <protection locked="0"/>
    </xf>
    <xf numFmtId="165" fontId="16" fillId="0" borderId="1" xfId="1" applyNumberFormat="1" applyFont="1" applyFill="1" applyBorder="1" applyAlignment="1" applyProtection="1">
      <alignment horizontal="center" vertical="center" wrapText="1"/>
      <protection locked="0"/>
    </xf>
    <xf numFmtId="165" fontId="14" fillId="5" borderId="1" xfId="1" applyNumberFormat="1"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protection locked="0"/>
    </xf>
    <xf numFmtId="165" fontId="19" fillId="5" borderId="1" xfId="0" applyNumberFormat="1" applyFont="1" applyFill="1" applyBorder="1" applyAlignment="1" applyProtection="1">
      <alignment horizontal="center" vertical="center"/>
      <protection locked="0"/>
    </xf>
    <xf numFmtId="0" fontId="16" fillId="0" borderId="1" xfId="0" applyFont="1" applyFill="1" applyBorder="1" applyAlignment="1" applyProtection="1">
      <alignment horizontal="center" vertical="center"/>
      <protection locked="0"/>
    </xf>
    <xf numFmtId="164" fontId="16" fillId="0" borderId="1" xfId="2" applyFont="1" applyFill="1" applyBorder="1" applyAlignment="1" applyProtection="1">
      <alignment horizontal="center" vertical="center" wrapText="1"/>
      <protection locked="0"/>
    </xf>
    <xf numFmtId="164" fontId="17" fillId="0" borderId="0" xfId="1" applyFont="1" applyFill="1" applyBorder="1" applyAlignment="1" applyProtection="1">
      <alignment horizontal="center" vertical="center"/>
      <protection locked="0"/>
    </xf>
    <xf numFmtId="0" fontId="17" fillId="0" borderId="0" xfId="0" applyFont="1" applyFill="1" applyBorder="1" applyAlignment="1" applyProtection="1">
      <alignment horizontal="center" vertical="center"/>
      <protection locked="0"/>
    </xf>
    <xf numFmtId="0" fontId="34" fillId="4" borderId="0" xfId="0"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wrapText="1"/>
      <protection locked="0"/>
    </xf>
    <xf numFmtId="165" fontId="2" fillId="4" borderId="0" xfId="2" applyNumberFormat="1" applyFont="1" applyFill="1" applyBorder="1" applyAlignment="1" applyProtection="1">
      <alignment horizontal="right" vertical="center"/>
      <protection locked="0"/>
    </xf>
    <xf numFmtId="0" fontId="2" fillId="4" borderId="0" xfId="0" applyFont="1" applyFill="1" applyBorder="1" applyAlignment="1" applyProtection="1">
      <alignment horizontal="right" vertical="center"/>
      <protection locked="0"/>
    </xf>
    <xf numFmtId="0" fontId="3" fillId="4" borderId="0" xfId="0" applyFont="1" applyFill="1" applyBorder="1" applyAlignment="1" applyProtection="1">
      <alignment horizontal="right" vertical="center"/>
      <protection locked="0"/>
    </xf>
    <xf numFmtId="165" fontId="3" fillId="4" borderId="0" xfId="2" applyNumberFormat="1" applyFont="1" applyFill="1" applyBorder="1" applyAlignment="1" applyProtection="1">
      <alignment horizontal="right" vertical="center"/>
      <protection locked="0"/>
    </xf>
    <xf numFmtId="165" fontId="3" fillId="4" borderId="0" xfId="2" applyNumberFormat="1" applyFont="1" applyFill="1" applyBorder="1" applyAlignment="1" applyProtection="1">
      <alignment horizontal="right" vertical="center" wrapText="1"/>
      <protection locked="0"/>
    </xf>
    <xf numFmtId="165" fontId="5" fillId="4" borderId="0" xfId="2" applyNumberFormat="1" applyFont="1" applyFill="1" applyBorder="1" applyAlignment="1" applyProtection="1">
      <alignment horizontal="right" vertical="center" wrapText="1"/>
      <protection locked="0"/>
    </xf>
    <xf numFmtId="165" fontId="2" fillId="4" borderId="0" xfId="2" applyNumberFormat="1" applyFont="1" applyFill="1" applyBorder="1" applyAlignment="1" applyProtection="1">
      <alignment horizontal="right" vertical="center" wrapText="1"/>
      <protection locked="0"/>
    </xf>
    <xf numFmtId="0" fontId="36"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165" fontId="5" fillId="5" borderId="1" xfId="2" applyNumberFormat="1" applyFont="1" applyFill="1" applyBorder="1" applyAlignment="1" applyProtection="1">
      <alignment horizontal="right" vertical="center"/>
      <protection locked="0"/>
    </xf>
    <xf numFmtId="165" fontId="5" fillId="2" borderId="1" xfId="2" applyNumberFormat="1" applyFont="1" applyFill="1" applyBorder="1" applyAlignment="1" applyProtection="1">
      <alignment horizontal="right" vertical="center"/>
      <protection locked="0"/>
    </xf>
    <xf numFmtId="0" fontId="5" fillId="2" borderId="1" xfId="0" applyFont="1" applyFill="1" applyBorder="1" applyAlignment="1" applyProtection="1">
      <alignment horizontal="right" vertical="center"/>
      <protection locked="0"/>
    </xf>
    <xf numFmtId="165" fontId="5" fillId="0" borderId="1" xfId="2" applyNumberFormat="1" applyFont="1" applyFill="1" applyBorder="1" applyAlignment="1" applyProtection="1">
      <alignment horizontal="right" vertical="center"/>
      <protection locked="0"/>
    </xf>
    <xf numFmtId="165" fontId="5" fillId="6" borderId="1" xfId="2" applyNumberFormat="1" applyFont="1" applyFill="1" applyBorder="1" applyAlignment="1" applyProtection="1">
      <alignment horizontal="right" vertical="center"/>
      <protection locked="0"/>
    </xf>
    <xf numFmtId="0" fontId="5" fillId="0" borderId="0" xfId="0" applyFont="1" applyFill="1" applyBorder="1" applyAlignment="1" applyProtection="1">
      <alignment vertical="center"/>
      <protection locked="0"/>
    </xf>
    <xf numFmtId="0" fontId="3" fillId="4" borderId="1" xfId="0" applyFont="1" applyFill="1" applyBorder="1" applyAlignment="1">
      <alignment vertical="center" wrapText="1"/>
    </xf>
    <xf numFmtId="0" fontId="3" fillId="0" borderId="1" xfId="0" applyFont="1" applyBorder="1" applyAlignment="1">
      <alignment vertical="center" wrapText="1"/>
    </xf>
    <xf numFmtId="0" fontId="3" fillId="0" borderId="1"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5" fillId="0" borderId="1" xfId="0" applyFont="1" applyFill="1" applyBorder="1" applyAlignment="1" applyProtection="1">
      <alignment horizontal="right" vertical="center"/>
      <protection locked="0"/>
    </xf>
    <xf numFmtId="0" fontId="3" fillId="5" borderId="1" xfId="0" applyFont="1" applyFill="1" applyBorder="1" applyAlignment="1" applyProtection="1">
      <alignment horizontal="left" vertical="center" wrapText="1"/>
    </xf>
    <xf numFmtId="165" fontId="5" fillId="16" borderId="1" xfId="2" applyNumberFormat="1" applyFont="1" applyFill="1" applyBorder="1" applyAlignment="1" applyProtection="1">
      <alignment horizontal="right" vertical="center"/>
      <protection locked="0"/>
    </xf>
    <xf numFmtId="0" fontId="5" fillId="16" borderId="1" xfId="0" applyFont="1" applyFill="1" applyBorder="1" applyAlignment="1" applyProtection="1">
      <alignment horizontal="right" vertical="center"/>
      <protection locked="0"/>
    </xf>
    <xf numFmtId="165" fontId="5" fillId="16" borderId="1" xfId="0" applyNumberFormat="1" applyFont="1" applyFill="1" applyBorder="1" applyAlignment="1" applyProtection="1">
      <alignment horizontal="right" vertical="center"/>
      <protection locked="0"/>
    </xf>
    <xf numFmtId="0" fontId="34" fillId="0" borderId="0" xfId="0" applyFont="1" applyFill="1" applyBorder="1" applyAlignment="1" applyProtection="1">
      <alignment horizontal="left" vertical="center"/>
      <protection locked="0"/>
    </xf>
    <xf numFmtId="0" fontId="34"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wrapText="1"/>
      <protection locked="0"/>
    </xf>
    <xf numFmtId="165" fontId="2" fillId="0" borderId="0" xfId="2" applyNumberFormat="1" applyFont="1" applyFill="1" applyBorder="1" applyAlignment="1" applyProtection="1">
      <alignment horizontal="right" vertical="center"/>
      <protection locked="0"/>
    </xf>
    <xf numFmtId="0" fontId="2" fillId="0" borderId="0" xfId="0" applyFont="1" applyFill="1" applyBorder="1" applyAlignment="1" applyProtection="1">
      <alignment horizontal="right" vertical="center"/>
      <protection locked="0"/>
    </xf>
    <xf numFmtId="0" fontId="3" fillId="0" borderId="0" xfId="0" applyFont="1" applyFill="1" applyBorder="1" applyAlignment="1" applyProtection="1">
      <alignment horizontal="right" vertical="center"/>
      <protection locked="0"/>
    </xf>
    <xf numFmtId="165" fontId="3" fillId="0" borderId="0" xfId="2" applyNumberFormat="1" applyFont="1" applyFill="1" applyBorder="1" applyAlignment="1" applyProtection="1">
      <alignment horizontal="right" vertical="center"/>
      <protection locked="0"/>
    </xf>
    <xf numFmtId="165" fontId="3" fillId="0" borderId="0" xfId="2" applyNumberFormat="1" applyFont="1" applyFill="1" applyBorder="1" applyAlignment="1" applyProtection="1">
      <alignment horizontal="right" vertical="center" wrapText="1"/>
      <protection locked="0"/>
    </xf>
    <xf numFmtId="165" fontId="5" fillId="0" borderId="0" xfId="2" applyNumberFormat="1" applyFont="1" applyFill="1" applyBorder="1" applyAlignment="1" applyProtection="1">
      <alignment horizontal="right" vertical="center" wrapText="1"/>
      <protection locked="0"/>
    </xf>
    <xf numFmtId="165" fontId="2" fillId="0" borderId="0" xfId="2" applyNumberFormat="1" applyFont="1" applyFill="1" applyBorder="1" applyAlignment="1" applyProtection="1">
      <alignment horizontal="right" vertical="center" wrapText="1"/>
      <protection locked="0"/>
    </xf>
    <xf numFmtId="0" fontId="3" fillId="4" borderId="1" xfId="0" applyFont="1" applyFill="1" applyBorder="1" applyAlignment="1" applyProtection="1">
      <alignment vertical="center" wrapText="1"/>
      <protection locked="0"/>
    </xf>
    <xf numFmtId="0" fontId="3" fillId="4" borderId="1" xfId="0" applyFont="1" applyFill="1" applyBorder="1" applyAlignment="1" applyProtection="1">
      <alignment horizontal="left" vertical="center" wrapText="1"/>
    </xf>
    <xf numFmtId="0" fontId="19" fillId="4" borderId="9" xfId="0" applyFont="1" applyFill="1" applyBorder="1" applyAlignment="1" applyProtection="1">
      <alignment horizontal="center" wrapText="1"/>
      <protection locked="0"/>
    </xf>
    <xf numFmtId="164" fontId="14" fillId="4" borderId="3" xfId="2" applyFont="1" applyFill="1" applyBorder="1" applyAlignment="1">
      <alignment horizontal="center" vertical="center"/>
    </xf>
    <xf numFmtId="0" fontId="16" fillId="4" borderId="1" xfId="0" applyFont="1" applyFill="1" applyBorder="1" applyAlignment="1" applyProtection="1">
      <alignment wrapText="1"/>
      <protection locked="0"/>
    </xf>
    <xf numFmtId="0" fontId="16" fillId="4" borderId="1" xfId="0" applyFont="1" applyFill="1" applyBorder="1" applyAlignment="1" applyProtection="1">
      <alignment vertical="center" wrapText="1"/>
      <protection locked="0"/>
    </xf>
    <xf numFmtId="165" fontId="19" fillId="5" borderId="1" xfId="0" applyNumberFormat="1" applyFont="1" applyFill="1" applyBorder="1" applyAlignment="1" applyProtection="1">
      <alignment horizontal="right" vertical="center"/>
      <protection locked="0"/>
    </xf>
    <xf numFmtId="0" fontId="28" fillId="4" borderId="1" xfId="0" applyFont="1" applyFill="1" applyBorder="1" applyAlignment="1" applyProtection="1">
      <alignment vertical="center" wrapText="1"/>
    </xf>
    <xf numFmtId="0" fontId="28" fillId="4" borderId="1" xfId="0" applyFont="1" applyFill="1" applyBorder="1" applyAlignment="1" applyProtection="1">
      <alignment horizontal="left" vertical="center" wrapText="1"/>
    </xf>
    <xf numFmtId="0" fontId="26" fillId="13" borderId="1" xfId="0" applyFont="1" applyFill="1" applyBorder="1" applyAlignment="1" applyProtection="1">
      <alignment horizontal="center" vertical="center" wrapText="1"/>
      <protection locked="0"/>
    </xf>
    <xf numFmtId="0" fontId="28" fillId="4" borderId="10" xfId="0" applyFont="1" applyFill="1" applyBorder="1" applyAlignment="1" applyProtection="1">
      <alignment horizontal="left" vertical="center" wrapText="1"/>
    </xf>
    <xf numFmtId="0" fontId="28" fillId="4" borderId="4" xfId="0" applyFont="1" applyFill="1" applyBorder="1" applyAlignment="1" applyProtection="1">
      <alignment horizontal="left" vertical="center" wrapText="1"/>
    </xf>
    <xf numFmtId="0" fontId="44" fillId="14" borderId="3" xfId="0" applyFont="1" applyFill="1" applyBorder="1" applyAlignment="1" applyProtection="1">
      <alignment horizontal="left" vertical="center" wrapText="1"/>
    </xf>
    <xf numFmtId="0" fontId="18" fillId="14" borderId="3" xfId="0" applyFont="1" applyFill="1" applyBorder="1" applyAlignment="1" applyProtection="1">
      <alignment horizontal="left" vertical="center" wrapText="1"/>
    </xf>
    <xf numFmtId="0" fontId="27" fillId="14" borderId="3" xfId="0" applyFont="1" applyFill="1" applyBorder="1" applyAlignment="1" applyProtection="1">
      <alignment horizontal="left" vertical="center" wrapText="1"/>
    </xf>
    <xf numFmtId="0" fontId="50" fillId="13" borderId="3" xfId="0" applyFont="1" applyFill="1" applyBorder="1" applyAlignment="1" applyProtection="1">
      <alignment vertical="center"/>
      <protection locked="0"/>
    </xf>
    <xf numFmtId="0" fontId="51" fillId="14" borderId="3" xfId="0" applyFont="1" applyFill="1" applyBorder="1" applyAlignment="1" applyProtection="1">
      <alignment horizontal="center" vertical="center" wrapText="1"/>
    </xf>
    <xf numFmtId="0" fontId="5" fillId="0" borderId="1" xfId="4"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16" fillId="0" borderId="10" xfId="0" applyFont="1" applyFill="1" applyBorder="1" applyAlignment="1" applyProtection="1">
      <alignment horizontal="left" vertical="center" wrapText="1"/>
    </xf>
    <xf numFmtId="164" fontId="16" fillId="0" borderId="1" xfId="1" applyFont="1" applyFill="1" applyBorder="1" applyAlignment="1" applyProtection="1">
      <alignment horizontal="left" vertical="center" wrapText="1"/>
    </xf>
    <xf numFmtId="165" fontId="19" fillId="2" borderId="1" xfId="1" applyNumberFormat="1" applyFont="1" applyFill="1" applyBorder="1" applyAlignment="1" applyProtection="1">
      <alignment horizontal="right" vertical="center"/>
      <protection locked="0"/>
    </xf>
    <xf numFmtId="0" fontId="19" fillId="2" borderId="1" xfId="0" applyFont="1" applyFill="1" applyBorder="1" applyAlignment="1" applyProtection="1">
      <alignment horizontal="right" vertical="center"/>
      <protection locked="0"/>
    </xf>
    <xf numFmtId="0" fontId="19" fillId="0" borderId="1" xfId="0" applyFont="1" applyFill="1" applyBorder="1" applyAlignment="1" applyProtection="1">
      <alignment horizontal="right" vertical="center"/>
      <protection locked="0"/>
    </xf>
    <xf numFmtId="165" fontId="19" fillId="6" borderId="1" xfId="1" applyNumberFormat="1" applyFont="1" applyFill="1" applyBorder="1" applyAlignment="1" applyProtection="1">
      <alignment horizontal="right" vertical="center"/>
      <protection locked="0"/>
    </xf>
    <xf numFmtId="165" fontId="21" fillId="5" borderId="1" xfId="1" applyNumberFormat="1" applyFont="1" applyFill="1" applyBorder="1" applyAlignment="1" applyProtection="1">
      <alignment horizontal="right" vertical="center"/>
      <protection locked="0"/>
    </xf>
    <xf numFmtId="164" fontId="17" fillId="0" borderId="0" xfId="1" applyFont="1" applyFill="1" applyBorder="1" applyAlignment="1" applyProtection="1">
      <alignment vertical="center"/>
      <protection locked="0"/>
    </xf>
    <xf numFmtId="0" fontId="19" fillId="16" borderId="21" xfId="0" applyFont="1" applyFill="1" applyBorder="1" applyAlignment="1" applyProtection="1">
      <alignment horizontal="center" vertical="center" wrapText="1"/>
      <protection locked="0"/>
    </xf>
    <xf numFmtId="0" fontId="14" fillId="16" borderId="3" xfId="0" applyFont="1" applyFill="1" applyBorder="1" applyAlignment="1">
      <alignment horizontal="center" vertical="center"/>
    </xf>
    <xf numFmtId="0" fontId="16" fillId="16" borderId="21" xfId="0" applyFont="1" applyFill="1" applyBorder="1" applyAlignment="1" applyProtection="1">
      <alignment horizontal="center" vertical="center" wrapText="1"/>
      <protection locked="0"/>
    </xf>
    <xf numFmtId="0" fontId="16" fillId="16" borderId="29" xfId="0" applyFont="1" applyFill="1" applyBorder="1" applyAlignment="1" applyProtection="1">
      <alignment wrapText="1"/>
      <protection locked="0"/>
    </xf>
    <xf numFmtId="0" fontId="19" fillId="16" borderId="9" xfId="0" applyFont="1" applyFill="1" applyBorder="1" applyAlignment="1" applyProtection="1">
      <alignment horizontal="center" wrapText="1"/>
      <protection locked="0"/>
    </xf>
    <xf numFmtId="165" fontId="14" fillId="5" borderId="1" xfId="1" applyNumberFormat="1" applyFont="1" applyFill="1" applyBorder="1" applyAlignment="1" applyProtection="1">
      <alignment horizontal="right"/>
      <protection locked="0"/>
    </xf>
    <xf numFmtId="165" fontId="16" fillId="4" borderId="1" xfId="1" applyNumberFormat="1" applyFont="1" applyFill="1" applyBorder="1" applyAlignment="1" applyProtection="1">
      <alignment horizontal="right" wrapText="1"/>
      <protection locked="0"/>
    </xf>
    <xf numFmtId="165" fontId="16" fillId="5" borderId="1" xfId="1" applyNumberFormat="1" applyFont="1" applyFill="1" applyBorder="1" applyAlignment="1" applyProtection="1">
      <alignment horizontal="right" wrapText="1"/>
      <protection locked="0"/>
    </xf>
    <xf numFmtId="0" fontId="19" fillId="13" borderId="37" xfId="0" applyFont="1" applyFill="1" applyBorder="1" applyAlignment="1" applyProtection="1">
      <alignment horizontal="center" vertical="center" wrapText="1"/>
      <protection locked="0"/>
    </xf>
    <xf numFmtId="0" fontId="19" fillId="13" borderId="24" xfId="0" applyFont="1" applyFill="1" applyBorder="1" applyAlignment="1" applyProtection="1">
      <alignment horizontal="center" vertical="center" wrapText="1"/>
      <protection locked="0"/>
    </xf>
    <xf numFmtId="165" fontId="19" fillId="13" borderId="1" xfId="1" applyNumberFormat="1" applyFont="1" applyFill="1" applyBorder="1" applyAlignment="1" applyProtection="1">
      <alignment horizontal="center" wrapText="1"/>
      <protection locked="0"/>
    </xf>
    <xf numFmtId="0" fontId="19" fillId="13" borderId="1" xfId="0" applyFont="1" applyFill="1" applyBorder="1" applyAlignment="1" applyProtection="1">
      <alignment horizontal="center" wrapText="1"/>
      <protection locked="0"/>
    </xf>
    <xf numFmtId="165" fontId="19" fillId="13" borderId="1" xfId="1" applyNumberFormat="1" applyFont="1" applyFill="1" applyBorder="1" applyAlignment="1" applyProtection="1">
      <alignment horizontal="center" vertical="center" wrapText="1"/>
      <protection locked="0"/>
    </xf>
    <xf numFmtId="164" fontId="19" fillId="13" borderId="1" xfId="2" applyFont="1" applyFill="1" applyBorder="1" applyAlignment="1" applyProtection="1">
      <alignment horizontal="center" wrapText="1"/>
      <protection locked="0"/>
    </xf>
    <xf numFmtId="165" fontId="19" fillId="13" borderId="1" xfId="1" applyNumberFormat="1" applyFont="1" applyFill="1" applyBorder="1" applyAlignment="1" applyProtection="1">
      <alignment wrapText="1"/>
      <protection locked="0"/>
    </xf>
    <xf numFmtId="0" fontId="19" fillId="13" borderId="16" xfId="0" applyFont="1" applyFill="1" applyBorder="1" applyAlignment="1" applyProtection="1">
      <alignment horizontal="center" vertical="center" wrapText="1"/>
      <protection locked="0"/>
    </xf>
    <xf numFmtId="0" fontId="19" fillId="13" borderId="11" xfId="0" applyFont="1" applyFill="1" applyBorder="1" applyAlignment="1" applyProtection="1">
      <alignment horizontal="center" vertical="center" wrapText="1"/>
      <protection locked="0"/>
    </xf>
    <xf numFmtId="0" fontId="19" fillId="13" borderId="9" xfId="0" applyFont="1" applyFill="1" applyBorder="1" applyAlignment="1" applyProtection="1">
      <alignment wrapText="1"/>
      <protection locked="0"/>
    </xf>
    <xf numFmtId="0" fontId="16" fillId="13" borderId="11" xfId="0" applyFont="1" applyFill="1" applyBorder="1" applyAlignment="1" applyProtection="1">
      <alignment horizontal="center" vertical="center" wrapText="1"/>
      <protection locked="0"/>
    </xf>
    <xf numFmtId="0" fontId="19" fillId="13" borderId="9" xfId="0" applyFont="1" applyFill="1" applyBorder="1" applyAlignment="1" applyProtection="1">
      <alignment horizontal="left" wrapText="1"/>
      <protection locked="0"/>
    </xf>
    <xf numFmtId="0" fontId="19" fillId="13" borderId="9" xfId="0" applyFont="1" applyFill="1" applyBorder="1" applyAlignment="1" applyProtection="1">
      <alignment horizontal="center" wrapText="1"/>
      <protection locked="0"/>
    </xf>
    <xf numFmtId="0" fontId="14" fillId="13" borderId="3" xfId="0" applyFont="1" applyFill="1" applyBorder="1" applyAlignment="1">
      <alignment horizontal="center" vertical="center"/>
    </xf>
    <xf numFmtId="165" fontId="14" fillId="4" borderId="1" xfId="1" applyNumberFormat="1" applyFont="1" applyFill="1" applyBorder="1" applyAlignment="1" applyProtection="1">
      <alignment horizontal="right"/>
      <protection locked="0"/>
    </xf>
    <xf numFmtId="165" fontId="19" fillId="4" borderId="1" xfId="1" applyNumberFormat="1" applyFont="1" applyFill="1" applyBorder="1" applyAlignment="1" applyProtection="1">
      <alignment horizontal="center" vertical="center"/>
      <protection locked="0"/>
    </xf>
    <xf numFmtId="165" fontId="16" fillId="4" borderId="1" xfId="1" applyNumberFormat="1" applyFont="1" applyFill="1" applyBorder="1" applyAlignment="1" applyProtection="1">
      <alignment horizontal="center" vertical="center" wrapText="1"/>
      <protection locked="0"/>
    </xf>
    <xf numFmtId="0" fontId="16" fillId="0" borderId="4" xfId="4" applyFont="1" applyFill="1" applyBorder="1" applyAlignment="1" applyProtection="1">
      <alignment horizontal="center" vertical="center" wrapText="1"/>
    </xf>
    <xf numFmtId="0" fontId="17" fillId="4" borderId="0" xfId="0" applyFont="1" applyFill="1" applyBorder="1" applyAlignment="1" applyProtection="1">
      <alignment horizontal="left" vertical="center"/>
      <protection locked="0"/>
    </xf>
    <xf numFmtId="0" fontId="19" fillId="13" borderId="9"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xf>
    <xf numFmtId="0" fontId="16" fillId="16" borderId="3" xfId="0" applyFont="1" applyFill="1" applyBorder="1" applyAlignment="1" applyProtection="1">
      <alignment horizontal="left" vertical="center" wrapText="1"/>
    </xf>
    <xf numFmtId="165" fontId="19" fillId="16" borderId="1" xfId="0" applyNumberFormat="1" applyFont="1" applyFill="1" applyBorder="1" applyAlignment="1" applyProtection="1">
      <alignment horizontal="right" vertical="center"/>
      <protection locked="0"/>
    </xf>
    <xf numFmtId="0" fontId="47" fillId="3" borderId="1" xfId="0" applyFont="1" applyFill="1" applyBorder="1" applyAlignment="1" applyProtection="1">
      <alignment horizontal="left" vertical="center"/>
      <protection locked="0"/>
    </xf>
    <xf numFmtId="0" fontId="17" fillId="0" borderId="0" xfId="0" applyFont="1" applyFill="1" applyBorder="1" applyAlignment="1" applyProtection="1">
      <alignment horizontal="left" vertical="center"/>
      <protection locked="0"/>
    </xf>
    <xf numFmtId="0" fontId="5" fillId="3" borderId="1" xfId="0" applyFont="1" applyFill="1" applyBorder="1" applyAlignment="1" applyProtection="1">
      <alignment horizontal="center" vertical="center" wrapText="1"/>
      <protection locked="0"/>
    </xf>
    <xf numFmtId="0" fontId="5" fillId="3" borderId="1" xfId="0" applyFont="1" applyFill="1" applyBorder="1" applyAlignment="1" applyProtection="1">
      <alignment horizontal="left" vertical="center" wrapText="1"/>
      <protection locked="0"/>
    </xf>
    <xf numFmtId="0" fontId="5" fillId="3" borderId="1" xfId="0" applyFont="1" applyFill="1" applyBorder="1" applyAlignment="1">
      <alignment horizontal="center" vertical="center"/>
    </xf>
    <xf numFmtId="0" fontId="5" fillId="0" borderId="1" xfId="4" applyFont="1" applyFill="1" applyBorder="1" applyAlignment="1" applyProtection="1">
      <alignment vertical="center" wrapText="1"/>
    </xf>
    <xf numFmtId="165" fontId="5" fillId="5" borderId="1" xfId="0" applyNumberFormat="1" applyFont="1" applyFill="1" applyBorder="1" applyAlignment="1" applyProtection="1">
      <alignment horizontal="right" vertical="center"/>
      <protection locked="0"/>
    </xf>
    <xf numFmtId="165" fontId="5" fillId="5" borderId="1" xfId="2" applyNumberFormat="1" applyFont="1" applyFill="1" applyBorder="1" applyAlignment="1" applyProtection="1">
      <alignment vertical="center"/>
      <protection locked="0"/>
    </xf>
    <xf numFmtId="0" fontId="5" fillId="0" borderId="1" xfId="0" applyFont="1" applyFill="1" applyBorder="1" applyAlignment="1" applyProtection="1">
      <alignment vertical="center"/>
      <protection locked="0"/>
    </xf>
    <xf numFmtId="0" fontId="3" fillId="2" borderId="1" xfId="0" applyFont="1" applyFill="1" applyBorder="1" applyAlignment="1" applyProtection="1">
      <alignment vertical="center" wrapText="1"/>
      <protection locked="0"/>
    </xf>
    <xf numFmtId="0" fontId="3" fillId="0" borderId="1" xfId="0" applyFont="1" applyFill="1" applyBorder="1" applyAlignment="1" applyProtection="1">
      <alignment vertical="center" wrapText="1"/>
      <protection locked="0"/>
    </xf>
    <xf numFmtId="0" fontId="3" fillId="6" borderId="1" xfId="0" applyFont="1" applyFill="1" applyBorder="1" applyAlignment="1" applyProtection="1">
      <alignment vertical="center" wrapText="1"/>
      <protection locked="0"/>
    </xf>
    <xf numFmtId="0" fontId="3" fillId="5" borderId="1" xfId="0" applyFont="1" applyFill="1" applyBorder="1" applyAlignment="1" applyProtection="1">
      <alignment vertical="center" wrapText="1"/>
      <protection locked="0"/>
    </xf>
    <xf numFmtId="0" fontId="5" fillId="5" borderId="1" xfId="0" applyFont="1" applyFill="1" applyBorder="1" applyAlignment="1" applyProtection="1">
      <alignment vertical="center" wrapText="1"/>
      <protection locked="0"/>
    </xf>
    <xf numFmtId="165" fontId="5" fillId="4" borderId="1" xfId="2" applyNumberFormat="1" applyFont="1" applyFill="1" applyBorder="1" applyAlignment="1" applyProtection="1">
      <alignment horizontal="right" vertical="center"/>
      <protection locked="0"/>
    </xf>
    <xf numFmtId="0" fontId="3" fillId="7" borderId="1" xfId="0" applyFont="1" applyFill="1" applyBorder="1" applyAlignment="1" applyProtection="1">
      <alignment vertical="center" wrapText="1"/>
      <protection locked="0"/>
    </xf>
    <xf numFmtId="0" fontId="5" fillId="16" borderId="1" xfId="4" applyFont="1" applyFill="1" applyBorder="1" applyAlignment="1" applyProtection="1">
      <alignment vertical="center" wrapText="1"/>
    </xf>
    <xf numFmtId="0" fontId="5" fillId="16" borderId="1" xfId="4" applyFont="1" applyFill="1" applyBorder="1" applyAlignment="1" applyProtection="1">
      <alignment horizontal="center" vertical="center" wrapText="1"/>
    </xf>
    <xf numFmtId="0" fontId="3" fillId="16" borderId="1" xfId="0" applyFont="1" applyFill="1" applyBorder="1" applyAlignment="1" applyProtection="1">
      <alignment vertical="center" wrapText="1"/>
      <protection locked="0"/>
    </xf>
    <xf numFmtId="0" fontId="5" fillId="16" borderId="1" xfId="0" applyFont="1" applyFill="1" applyBorder="1" applyAlignment="1" applyProtection="1">
      <alignment horizontal="center" vertical="center" wrapText="1"/>
    </xf>
    <xf numFmtId="0" fontId="5" fillId="16" borderId="1" xfId="0" applyFont="1" applyFill="1" applyBorder="1" applyAlignment="1" applyProtection="1">
      <alignment horizontal="left" vertical="center" wrapText="1"/>
    </xf>
    <xf numFmtId="165" fontId="5" fillId="16" borderId="1" xfId="2" applyNumberFormat="1" applyFont="1" applyFill="1" applyBorder="1" applyAlignment="1" applyProtection="1">
      <alignment vertical="center"/>
      <protection locked="0"/>
    </xf>
    <xf numFmtId="0" fontId="3" fillId="4" borderId="1" xfId="0" applyFont="1" applyFill="1" applyBorder="1" applyAlignment="1" applyProtection="1">
      <alignment horizontal="center" vertical="center" wrapText="1"/>
    </xf>
    <xf numFmtId="0" fontId="52" fillId="5" borderId="1" xfId="0" applyFont="1" applyFill="1" applyBorder="1" applyAlignment="1" applyProtection="1">
      <alignment horizontal="left" vertical="center" wrapText="1"/>
    </xf>
    <xf numFmtId="0" fontId="2" fillId="0" borderId="1" xfId="0" applyFont="1" applyFill="1" applyBorder="1" applyAlignment="1" applyProtection="1">
      <alignment vertical="center"/>
      <protection locked="0"/>
    </xf>
    <xf numFmtId="0" fontId="7" fillId="0" borderId="1" xfId="0" applyFont="1" applyFill="1" applyBorder="1" applyAlignment="1" applyProtection="1">
      <alignment vertical="center"/>
      <protection locked="0"/>
    </xf>
    <xf numFmtId="0" fontId="34" fillId="0" borderId="1" xfId="0" applyFont="1" applyFill="1" applyBorder="1" applyAlignment="1" applyProtection="1">
      <alignment horizontal="left" vertical="center"/>
      <protection locked="0"/>
    </xf>
    <xf numFmtId="0" fontId="32" fillId="8" borderId="1" xfId="0" applyFont="1" applyFill="1" applyBorder="1" applyAlignment="1" applyProtection="1">
      <alignment horizontal="center" vertical="center"/>
      <protection locked="0"/>
    </xf>
    <xf numFmtId="0" fontId="5" fillId="8" borderId="1" xfId="0" applyFont="1" applyFill="1" applyBorder="1" applyAlignment="1" applyProtection="1">
      <alignment horizontal="center" vertical="center" wrapText="1"/>
      <protection locked="0"/>
    </xf>
    <xf numFmtId="0" fontId="7" fillId="8" borderId="1" xfId="0" applyFont="1" applyFill="1" applyBorder="1" applyAlignment="1" applyProtection="1">
      <alignment horizontal="center" vertical="center"/>
      <protection locked="0"/>
    </xf>
    <xf numFmtId="165" fontId="7" fillId="8" borderId="1" xfId="2" applyNumberFormat="1" applyFont="1" applyFill="1" applyBorder="1" applyAlignment="1" applyProtection="1">
      <alignment horizontal="right" vertical="center" wrapText="1"/>
      <protection locked="0"/>
    </xf>
    <xf numFmtId="165" fontId="5" fillId="4" borderId="1" xfId="0" applyNumberFormat="1" applyFont="1" applyFill="1" applyBorder="1" applyAlignment="1" applyProtection="1">
      <alignment horizontal="right" vertical="center"/>
      <protection locked="0"/>
    </xf>
    <xf numFmtId="0" fontId="5" fillId="13" borderId="1" xfId="0" applyFont="1" applyFill="1" applyBorder="1" applyAlignment="1" applyProtection="1">
      <alignment horizontal="center" vertical="center" wrapText="1"/>
      <protection locked="0"/>
    </xf>
    <xf numFmtId="165" fontId="5" fillId="13" borderId="1" xfId="2" applyNumberFormat="1" applyFont="1" applyFill="1" applyBorder="1" applyAlignment="1" applyProtection="1">
      <alignment horizontal="center" vertical="center" wrapText="1"/>
      <protection locked="0"/>
    </xf>
    <xf numFmtId="0" fontId="53" fillId="13" borderId="1" xfId="0" applyFont="1" applyFill="1" applyBorder="1" applyAlignment="1">
      <alignment vertical="center"/>
    </xf>
    <xf numFmtId="165" fontId="5" fillId="13" borderId="1" xfId="2" applyNumberFormat="1" applyFont="1" applyFill="1" applyBorder="1" applyAlignment="1" applyProtection="1">
      <alignment horizontal="right" vertical="center"/>
      <protection locked="0"/>
    </xf>
    <xf numFmtId="165" fontId="5" fillId="4" borderId="4" xfId="2" applyNumberFormat="1" applyFont="1" applyFill="1" applyBorder="1" applyAlignment="1" applyProtection="1">
      <alignment horizontal="right"/>
      <protection locked="0"/>
    </xf>
    <xf numFmtId="165" fontId="5" fillId="4" borderId="9" xfId="2" applyNumberFormat="1" applyFont="1" applyFill="1" applyBorder="1" applyAlignment="1" applyProtection="1">
      <alignment horizontal="right"/>
      <protection locked="0"/>
    </xf>
    <xf numFmtId="0" fontId="3" fillId="4" borderId="14" xfId="0" applyFont="1" applyFill="1" applyBorder="1" applyAlignment="1" applyProtection="1">
      <alignment wrapText="1"/>
      <protection locked="0"/>
    </xf>
    <xf numFmtId="165" fontId="5" fillId="4" borderId="1" xfId="2" applyNumberFormat="1" applyFont="1" applyFill="1" applyBorder="1" applyAlignment="1" applyProtection="1">
      <alignment horizontal="right"/>
      <protection locked="0"/>
    </xf>
    <xf numFmtId="164" fontId="5" fillId="5" borderId="14" xfId="2" applyFont="1" applyFill="1" applyBorder="1" applyAlignment="1" applyProtection="1">
      <alignment wrapText="1"/>
      <protection locked="0"/>
    </xf>
    <xf numFmtId="0" fontId="3" fillId="4" borderId="3" xfId="0" applyFont="1" applyFill="1" applyBorder="1" applyAlignment="1" applyProtection="1">
      <alignment wrapText="1"/>
      <protection locked="0"/>
    </xf>
    <xf numFmtId="165" fontId="5" fillId="4" borderId="10" xfId="2" applyNumberFormat="1" applyFont="1" applyFill="1" applyBorder="1" applyAlignment="1" applyProtection="1">
      <alignment horizontal="right"/>
      <protection locked="0"/>
    </xf>
    <xf numFmtId="165" fontId="5" fillId="4" borderId="2" xfId="2" applyNumberFormat="1" applyFont="1" applyFill="1" applyBorder="1" applyAlignment="1" applyProtection="1">
      <alignment horizontal="right"/>
      <protection locked="0"/>
    </xf>
    <xf numFmtId="0" fontId="5" fillId="13" borderId="37" xfId="0" applyFont="1" applyFill="1" applyBorder="1" applyAlignment="1" applyProtection="1">
      <alignment horizontal="center" vertical="center" wrapText="1"/>
      <protection locked="0"/>
    </xf>
    <xf numFmtId="0" fontId="5" fillId="13" borderId="24" xfId="0" applyFont="1" applyFill="1" applyBorder="1" applyAlignment="1" applyProtection="1">
      <alignment horizontal="center" vertical="center" wrapText="1"/>
      <protection locked="0"/>
    </xf>
    <xf numFmtId="165" fontId="5" fillId="13" borderId="5" xfId="2" applyNumberFormat="1" applyFont="1" applyFill="1" applyBorder="1" applyAlignment="1" applyProtection="1">
      <alignment horizontal="right"/>
      <protection locked="0"/>
    </xf>
    <xf numFmtId="0" fontId="5" fillId="13" borderId="16" xfId="0" applyFont="1" applyFill="1" applyBorder="1" applyAlignment="1" applyProtection="1">
      <alignment horizontal="center" vertical="center" wrapText="1"/>
      <protection locked="0"/>
    </xf>
    <xf numFmtId="0" fontId="5" fillId="13" borderId="10" xfId="0" applyFont="1" applyFill="1" applyBorder="1" applyAlignment="1" applyProtection="1">
      <alignment horizontal="center" vertical="center" wrapText="1"/>
      <protection locked="0"/>
    </xf>
    <xf numFmtId="0" fontId="5" fillId="13" borderId="11" xfId="0" applyFont="1" applyFill="1" applyBorder="1" applyAlignment="1" applyProtection="1">
      <alignment horizontal="center" wrapText="1"/>
      <protection locked="0"/>
    </xf>
    <xf numFmtId="0" fontId="5" fillId="13" borderId="9" xfId="0" applyFont="1" applyFill="1" applyBorder="1" applyAlignment="1" applyProtection="1">
      <alignment horizontal="left" wrapText="1"/>
      <protection locked="0"/>
    </xf>
    <xf numFmtId="0" fontId="5" fillId="13" borderId="9" xfId="0" applyFont="1" applyFill="1" applyBorder="1" applyAlignment="1" applyProtection="1">
      <alignment horizontal="center" wrapText="1"/>
      <protection locked="0"/>
    </xf>
    <xf numFmtId="0" fontId="5" fillId="13" borderId="3" xfId="0" applyFont="1" applyFill="1" applyBorder="1" applyAlignment="1">
      <alignment horizontal="center" vertical="center"/>
    </xf>
    <xf numFmtId="0" fontId="5" fillId="13" borderId="3" xfId="0" applyFont="1" applyFill="1" applyBorder="1" applyAlignment="1">
      <alignment horizontal="center" vertical="center" wrapText="1"/>
    </xf>
    <xf numFmtId="0" fontId="20" fillId="5" borderId="1" xfId="0" applyFont="1" applyFill="1" applyBorder="1" applyAlignment="1" applyProtection="1">
      <alignment wrapText="1"/>
      <protection locked="0"/>
    </xf>
    <xf numFmtId="165" fontId="19" fillId="4" borderId="1" xfId="1" applyNumberFormat="1" applyFont="1" applyFill="1" applyBorder="1" applyAlignment="1" applyProtection="1">
      <alignment horizontal="right" vertical="center"/>
      <protection locked="0"/>
    </xf>
    <xf numFmtId="0" fontId="20" fillId="4" borderId="1" xfId="0" applyFont="1" applyFill="1" applyBorder="1" applyAlignment="1" applyProtection="1">
      <alignment wrapText="1"/>
      <protection locked="0"/>
    </xf>
    <xf numFmtId="165" fontId="26" fillId="13" borderId="1" xfId="1" applyNumberFormat="1" applyFont="1" applyFill="1" applyBorder="1" applyAlignment="1" applyProtection="1">
      <alignment horizontal="center" vertical="center" wrapText="1"/>
      <protection locked="0"/>
    </xf>
    <xf numFmtId="0" fontId="12" fillId="0" borderId="35" xfId="0" applyFont="1" applyFill="1" applyBorder="1" applyAlignment="1" applyProtection="1">
      <alignment vertical="center" wrapText="1"/>
    </xf>
    <xf numFmtId="0" fontId="3" fillId="0" borderId="9" xfId="0" applyFont="1" applyFill="1" applyBorder="1" applyAlignment="1" applyProtection="1">
      <alignment wrapText="1"/>
      <protection locked="0"/>
    </xf>
    <xf numFmtId="0" fontId="3" fillId="6" borderId="9" xfId="0" applyFont="1" applyFill="1" applyBorder="1" applyAlignment="1" applyProtection="1">
      <alignment wrapText="1"/>
      <protection locked="0"/>
    </xf>
    <xf numFmtId="164" fontId="5" fillId="5" borderId="9" xfId="2" applyFont="1" applyFill="1" applyBorder="1" applyAlignment="1" applyProtection="1">
      <alignment wrapText="1"/>
      <protection locked="0"/>
    </xf>
    <xf numFmtId="0" fontId="3" fillId="5" borderId="9" xfId="0" applyFont="1" applyFill="1" applyBorder="1" applyAlignment="1" applyProtection="1">
      <alignment wrapText="1"/>
      <protection locked="0"/>
    </xf>
    <xf numFmtId="0" fontId="3" fillId="4" borderId="9" xfId="0" applyFont="1" applyFill="1" applyBorder="1" applyAlignment="1" applyProtection="1">
      <alignment wrapText="1"/>
      <protection locked="0"/>
    </xf>
    <xf numFmtId="164" fontId="37" fillId="5" borderId="9" xfId="2" applyFont="1" applyFill="1" applyBorder="1" applyAlignment="1" applyProtection="1">
      <alignment wrapText="1"/>
      <protection locked="0"/>
    </xf>
    <xf numFmtId="165" fontId="37" fillId="0" borderId="10" xfId="2" applyNumberFormat="1" applyFont="1" applyFill="1" applyBorder="1" applyAlignment="1" applyProtection="1">
      <alignment vertical="center"/>
      <protection locked="0"/>
    </xf>
    <xf numFmtId="165" fontId="5" fillId="5" borderId="25" xfId="2" applyNumberFormat="1" applyFont="1" applyFill="1" applyBorder="1" applyAlignment="1" applyProtection="1">
      <alignment vertical="center"/>
      <protection locked="0"/>
    </xf>
    <xf numFmtId="3" fontId="4" fillId="0" borderId="3" xfId="2" applyNumberFormat="1" applyFont="1" applyFill="1" applyBorder="1" applyAlignment="1" applyProtection="1">
      <alignment vertical="center"/>
      <protection locked="0"/>
    </xf>
    <xf numFmtId="0" fontId="4" fillId="4" borderId="1" xfId="0" applyFont="1" applyFill="1" applyBorder="1" applyAlignment="1" applyProtection="1">
      <alignment horizontal="center" vertical="center" wrapText="1"/>
      <protection locked="0"/>
    </xf>
    <xf numFmtId="165" fontId="26" fillId="13" borderId="1" xfId="2" applyNumberFormat="1" applyFont="1" applyFill="1" applyBorder="1" applyAlignment="1" applyProtection="1">
      <alignment vertical="center" wrapText="1"/>
      <protection locked="0"/>
    </xf>
    <xf numFmtId="165" fontId="26" fillId="13" borderId="1" xfId="2" applyNumberFormat="1" applyFont="1" applyFill="1" applyBorder="1" applyAlignment="1" applyProtection="1">
      <alignment horizontal="center" wrapText="1"/>
      <protection locked="0"/>
    </xf>
    <xf numFmtId="164" fontId="0" fillId="0" borderId="0" xfId="0" applyNumberFormat="1"/>
    <xf numFmtId="0" fontId="54" fillId="0" borderId="0" xfId="0" applyFont="1"/>
    <xf numFmtId="0" fontId="55" fillId="0" borderId="0" xfId="0" applyFont="1"/>
    <xf numFmtId="0" fontId="55" fillId="0" borderId="53" xfId="0" applyFont="1" applyBorder="1" applyAlignment="1">
      <alignment wrapText="1"/>
    </xf>
    <xf numFmtId="164" fontId="55" fillId="0" borderId="54" xfId="0" applyNumberFormat="1" applyFont="1" applyBorder="1" applyAlignment="1">
      <alignment wrapText="1"/>
    </xf>
    <xf numFmtId="164" fontId="55" fillId="0" borderId="55" xfId="0" applyNumberFormat="1" applyFont="1" applyBorder="1" applyAlignment="1">
      <alignment wrapText="1"/>
    </xf>
    <xf numFmtId="0" fontId="55" fillId="0" borderId="56" xfId="0" applyFont="1" applyBorder="1" applyAlignment="1">
      <alignment wrapText="1"/>
    </xf>
    <xf numFmtId="164" fontId="55" fillId="0" borderId="57" xfId="0" applyNumberFormat="1" applyFont="1" applyBorder="1" applyAlignment="1">
      <alignment wrapText="1"/>
    </xf>
    <xf numFmtId="164" fontId="55" fillId="0" borderId="58" xfId="0" applyNumberFormat="1" applyFont="1" applyBorder="1" applyAlignment="1">
      <alignment wrapText="1"/>
    </xf>
    <xf numFmtId="0" fontId="54" fillId="0" borderId="59" xfId="0" applyFont="1" applyBorder="1"/>
    <xf numFmtId="164" fontId="54" fillId="0" borderId="60" xfId="0" applyNumberFormat="1" applyFont="1" applyBorder="1" applyAlignment="1">
      <alignment wrapText="1"/>
    </xf>
    <xf numFmtId="164" fontId="54" fillId="0" borderId="61" xfId="0" applyNumberFormat="1" applyFont="1" applyBorder="1" applyAlignment="1">
      <alignment wrapText="1"/>
    </xf>
    <xf numFmtId="164" fontId="55" fillId="0" borderId="0" xfId="0" applyNumberFormat="1" applyFont="1"/>
    <xf numFmtId="0" fontId="55" fillId="13" borderId="62" xfId="0" applyFont="1" applyFill="1" applyBorder="1" applyAlignment="1"/>
    <xf numFmtId="0" fontId="55" fillId="13" borderId="63" xfId="0" applyFont="1" applyFill="1" applyBorder="1" applyAlignment="1"/>
    <xf numFmtId="0" fontId="54" fillId="13" borderId="64" xfId="0" applyFont="1" applyFill="1" applyBorder="1" applyAlignment="1">
      <alignment horizontal="center" wrapText="1"/>
    </xf>
    <xf numFmtId="164" fontId="55" fillId="0" borderId="65" xfId="0" applyNumberFormat="1" applyFont="1" applyBorder="1" applyAlignment="1">
      <alignment wrapText="1"/>
    </xf>
    <xf numFmtId="0" fontId="55" fillId="0" borderId="66" xfId="0" applyFont="1" applyBorder="1" applyAlignment="1">
      <alignment wrapText="1"/>
    </xf>
    <xf numFmtId="164" fontId="55" fillId="0" borderId="66" xfId="0" applyNumberFormat="1" applyFont="1" applyBorder="1" applyAlignment="1">
      <alignment wrapText="1"/>
    </xf>
    <xf numFmtId="0" fontId="55" fillId="0" borderId="67" xfId="0" applyFont="1" applyBorder="1"/>
    <xf numFmtId="164" fontId="55" fillId="0" borderId="67" xfId="0" applyNumberFormat="1" applyFont="1" applyBorder="1" applyAlignment="1">
      <alignment wrapText="1"/>
    </xf>
    <xf numFmtId="9" fontId="55" fillId="0" borderId="65" xfId="6" applyFont="1" applyBorder="1" applyAlignment="1">
      <alignment wrapText="1"/>
    </xf>
    <xf numFmtId="9" fontId="55" fillId="0" borderId="66" xfId="6" applyFont="1" applyBorder="1" applyAlignment="1">
      <alignment wrapText="1"/>
    </xf>
    <xf numFmtId="0" fontId="55" fillId="0" borderId="66" xfId="0" applyFont="1" applyBorder="1"/>
    <xf numFmtId="164" fontId="55" fillId="0" borderId="68" xfId="0" applyNumberFormat="1" applyFont="1" applyBorder="1" applyAlignment="1">
      <alignment wrapText="1"/>
    </xf>
    <xf numFmtId="0" fontId="55" fillId="0" borderId="69" xfId="0" applyFont="1" applyBorder="1"/>
    <xf numFmtId="164" fontId="55" fillId="0" borderId="70" xfId="0" applyNumberFormat="1" applyFont="1" applyBorder="1" applyAlignment="1">
      <alignment wrapText="1"/>
    </xf>
    <xf numFmtId="0" fontId="55" fillId="0" borderId="71" xfId="0" applyFont="1" applyBorder="1"/>
    <xf numFmtId="0" fontId="55" fillId="0" borderId="72" xfId="0" applyFont="1" applyBorder="1"/>
    <xf numFmtId="164" fontId="55" fillId="0" borderId="73" xfId="0" applyNumberFormat="1" applyFont="1" applyBorder="1" applyAlignment="1">
      <alignment wrapText="1"/>
    </xf>
    <xf numFmtId="164" fontId="55" fillId="0" borderId="74" xfId="0" applyNumberFormat="1" applyFont="1" applyBorder="1" applyAlignment="1">
      <alignment wrapText="1"/>
    </xf>
    <xf numFmtId="164" fontId="55" fillId="0" borderId="75" xfId="0" applyNumberFormat="1" applyFont="1" applyBorder="1" applyAlignment="1">
      <alignment wrapText="1"/>
    </xf>
    <xf numFmtId="164" fontId="55" fillId="0" borderId="76" xfId="0" applyNumberFormat="1" applyFont="1" applyBorder="1" applyAlignment="1">
      <alignment wrapText="1"/>
    </xf>
    <xf numFmtId="0" fontId="55" fillId="0" borderId="77" xfId="0" applyFont="1" applyBorder="1"/>
    <xf numFmtId="0" fontId="54" fillId="0" borderId="72" xfId="0" applyFont="1" applyBorder="1"/>
    <xf numFmtId="0" fontId="54" fillId="0" borderId="69" xfId="0" applyFont="1" applyBorder="1"/>
    <xf numFmtId="0" fontId="54" fillId="0" borderId="78" xfId="0" applyFont="1" applyBorder="1"/>
    <xf numFmtId="0" fontId="54" fillId="0" borderId="77" xfId="0" applyFont="1" applyBorder="1"/>
    <xf numFmtId="164" fontId="54" fillId="0" borderId="79" xfId="0" applyNumberFormat="1" applyFont="1" applyBorder="1" applyAlignment="1">
      <alignment wrapText="1"/>
    </xf>
    <xf numFmtId="164" fontId="54" fillId="0" borderId="80" xfId="0" applyNumberFormat="1" applyFont="1" applyBorder="1" applyAlignment="1">
      <alignment wrapText="1"/>
    </xf>
    <xf numFmtId="0" fontId="54" fillId="6" borderId="81" xfId="0" applyFont="1" applyFill="1" applyBorder="1" applyAlignment="1">
      <alignment horizontal="center" wrapText="1"/>
    </xf>
    <xf numFmtId="0" fontId="54" fillId="6" borderId="82" xfId="0" applyFont="1" applyFill="1" applyBorder="1" applyAlignment="1">
      <alignment horizontal="center" wrapText="1"/>
    </xf>
    <xf numFmtId="0" fontId="56" fillId="0" borderId="0" xfId="0" applyFont="1"/>
    <xf numFmtId="0" fontId="54" fillId="18" borderId="83" xfId="0" applyFont="1" applyFill="1" applyBorder="1" applyAlignment="1">
      <alignment horizontal="center" wrapText="1"/>
    </xf>
    <xf numFmtId="164" fontId="55" fillId="0" borderId="65" xfId="0" applyNumberFormat="1" applyFont="1" applyBorder="1"/>
    <xf numFmtId="164" fontId="55" fillId="0" borderId="66" xfId="0" applyNumberFormat="1" applyFont="1" applyBorder="1"/>
    <xf numFmtId="164" fontId="55" fillId="0" borderId="67" xfId="0" applyNumberFormat="1" applyFont="1" applyBorder="1"/>
    <xf numFmtId="0" fontId="56" fillId="0" borderId="0" xfId="0" applyFont="1" applyBorder="1"/>
    <xf numFmtId="164" fontId="55" fillId="0" borderId="70" xfId="0" applyNumberFormat="1" applyFont="1" applyBorder="1"/>
    <xf numFmtId="164" fontId="55" fillId="0" borderId="84" xfId="0" applyNumberFormat="1" applyFont="1" applyBorder="1"/>
    <xf numFmtId="164" fontId="55" fillId="0" borderId="74" xfId="0" applyNumberFormat="1" applyFont="1" applyBorder="1"/>
    <xf numFmtId="0" fontId="55" fillId="0" borderId="80" xfId="0" applyFont="1" applyBorder="1" applyAlignment="1">
      <alignment horizontal="center"/>
    </xf>
    <xf numFmtId="0" fontId="4" fillId="13" borderId="37" xfId="0" applyFont="1" applyFill="1" applyBorder="1" applyAlignment="1" applyProtection="1">
      <alignment horizontal="center" vertical="center" wrapText="1"/>
      <protection locked="0"/>
    </xf>
    <xf numFmtId="0" fontId="4" fillId="13" borderId="24" xfId="0" applyFont="1" applyFill="1" applyBorder="1" applyAlignment="1" applyProtection="1">
      <alignment horizontal="center" vertical="center" wrapText="1"/>
      <protection locked="0"/>
    </xf>
    <xf numFmtId="0" fontId="4" fillId="13" borderId="35" xfId="0" applyFont="1" applyFill="1" applyBorder="1" applyAlignment="1" applyProtection="1">
      <alignment horizontal="center" vertical="center" wrapText="1"/>
      <protection locked="0"/>
    </xf>
    <xf numFmtId="165" fontId="5" fillId="13" borderId="25" xfId="2" applyNumberFormat="1" applyFont="1" applyFill="1" applyBorder="1" applyAlignment="1" applyProtection="1">
      <alignment horizontal="center" wrapText="1"/>
      <protection locked="0"/>
    </xf>
    <xf numFmtId="165" fontId="5" fillId="13" borderId="29" xfId="2" applyNumberFormat="1" applyFont="1" applyFill="1" applyBorder="1" applyAlignment="1" applyProtection="1">
      <alignment horizontal="center" wrapText="1"/>
      <protection locked="0"/>
    </xf>
    <xf numFmtId="165" fontId="5" fillId="13" borderId="3" xfId="2" applyNumberFormat="1" applyFont="1" applyFill="1" applyBorder="1" applyAlignment="1" applyProtection="1">
      <alignment horizontal="center" wrapText="1"/>
      <protection locked="0"/>
    </xf>
    <xf numFmtId="0" fontId="19" fillId="3" borderId="1" xfId="0" applyFont="1" applyFill="1" applyBorder="1" applyAlignment="1" applyProtection="1">
      <alignment horizontal="center" wrapText="1"/>
      <protection locked="0"/>
    </xf>
    <xf numFmtId="165" fontId="19" fillId="3" borderId="1" xfId="1" applyNumberFormat="1" applyFont="1" applyFill="1" applyBorder="1" applyAlignment="1" applyProtection="1">
      <alignment horizontal="center" vertical="center" wrapText="1"/>
      <protection locked="0"/>
    </xf>
    <xf numFmtId="165" fontId="19" fillId="13" borderId="1" xfId="1" applyNumberFormat="1" applyFont="1" applyFill="1" applyBorder="1" applyAlignment="1" applyProtection="1">
      <alignment horizontal="center" wrapText="1"/>
      <protection locked="0"/>
    </xf>
    <xf numFmtId="165" fontId="19" fillId="13" borderId="12" xfId="1" applyNumberFormat="1" applyFont="1" applyFill="1" applyBorder="1" applyAlignment="1" applyProtection="1">
      <alignment horizontal="center" wrapText="1"/>
      <protection locked="0"/>
    </xf>
    <xf numFmtId="0" fontId="16" fillId="0" borderId="1" xfId="0" applyFont="1" applyFill="1" applyBorder="1" applyAlignment="1" applyProtection="1">
      <alignment vertical="top" wrapText="1"/>
    </xf>
    <xf numFmtId="0" fontId="3" fillId="0" borderId="17" xfId="0" applyFont="1" applyFill="1" applyBorder="1" applyAlignment="1" applyProtection="1">
      <alignment horizontal="left" vertical="center" wrapText="1"/>
    </xf>
    <xf numFmtId="0" fontId="3" fillId="0" borderId="17" xfId="0" applyFont="1" applyFill="1" applyBorder="1" applyAlignment="1" applyProtection="1">
      <alignment horizontal="left" vertical="top" wrapText="1"/>
    </xf>
    <xf numFmtId="0" fontId="5" fillId="13" borderId="24" xfId="0" applyFont="1" applyFill="1" applyBorder="1" applyAlignment="1" applyProtection="1">
      <alignment horizontal="center" vertical="center" wrapText="1"/>
      <protection locked="0"/>
    </xf>
    <xf numFmtId="165" fontId="5" fillId="13" borderId="1" xfId="2" applyNumberFormat="1" applyFont="1" applyFill="1" applyBorder="1" applyAlignment="1" applyProtection="1">
      <alignment horizontal="center" vertical="center" wrapText="1"/>
      <protection locked="0"/>
    </xf>
    <xf numFmtId="0" fontId="39" fillId="0" borderId="5" xfId="0" applyFont="1" applyBorder="1" applyAlignment="1">
      <alignment vertical="top" wrapText="1"/>
    </xf>
    <xf numFmtId="0" fontId="39" fillId="5" borderId="2" xfId="0" applyFont="1" applyFill="1" applyBorder="1" applyAlignment="1">
      <alignment vertical="top" wrapText="1"/>
    </xf>
    <xf numFmtId="0" fontId="38" fillId="0" borderId="0" xfId="0" applyFont="1" applyAlignment="1">
      <alignment vertical="top" wrapText="1"/>
    </xf>
    <xf numFmtId="0" fontId="39" fillId="0" borderId="4" xfId="0" applyFont="1" applyBorder="1" applyAlignment="1">
      <alignment vertical="top" wrapText="1"/>
    </xf>
    <xf numFmtId="0" fontId="53" fillId="0" borderId="5" xfId="0" applyFont="1" applyBorder="1" applyAlignment="1">
      <alignment vertical="top" wrapText="1"/>
    </xf>
    <xf numFmtId="0" fontId="53" fillId="0" borderId="0" xfId="0" applyFont="1" applyAlignment="1">
      <alignment vertical="top" wrapText="1"/>
    </xf>
    <xf numFmtId="0" fontId="39" fillId="0" borderId="1" xfId="0" applyFont="1" applyBorder="1" applyAlignment="1">
      <alignment vertical="top" wrapText="1"/>
    </xf>
    <xf numFmtId="0" fontId="53" fillId="0" borderId="1" xfId="0" applyFont="1" applyBorder="1" applyAlignment="1">
      <alignment vertical="top" wrapText="1"/>
    </xf>
    <xf numFmtId="0" fontId="39" fillId="0" borderId="2" xfId="0" applyFont="1" applyBorder="1" applyAlignment="1">
      <alignment vertical="top" wrapText="1"/>
    </xf>
    <xf numFmtId="0" fontId="19" fillId="13" borderId="16" xfId="0" applyFont="1" applyFill="1" applyBorder="1" applyAlignment="1" applyProtection="1">
      <alignment horizontal="center" vertical="center" wrapText="1"/>
      <protection locked="0"/>
    </xf>
    <xf numFmtId="0" fontId="19" fillId="13" borderId="37" xfId="0" applyFont="1" applyFill="1" applyBorder="1" applyAlignment="1" applyProtection="1">
      <alignment horizontal="center" vertical="center" wrapText="1"/>
      <protection locked="0"/>
    </xf>
    <xf numFmtId="0" fontId="5" fillId="13" borderId="26" xfId="0" applyFont="1" applyFill="1" applyBorder="1" applyAlignment="1" applyProtection="1">
      <alignment horizontal="center" vertical="center" wrapText="1"/>
      <protection locked="0"/>
    </xf>
    <xf numFmtId="0" fontId="5" fillId="13" borderId="19" xfId="0" applyFont="1" applyFill="1" applyBorder="1" applyAlignment="1" applyProtection="1">
      <alignment horizontal="center" vertical="center" wrapText="1"/>
      <protection locked="0"/>
    </xf>
    <xf numFmtId="0" fontId="5" fillId="13" borderId="26" xfId="0" applyFont="1" applyFill="1" applyBorder="1" applyAlignment="1" applyProtection="1">
      <alignment horizontal="center" wrapText="1"/>
      <protection locked="0"/>
    </xf>
    <xf numFmtId="0" fontId="5" fillId="13" borderId="21" xfId="0" applyFont="1" applyFill="1" applyBorder="1" applyAlignment="1" applyProtection="1">
      <alignment horizontal="center" wrapText="1"/>
      <protection locked="0"/>
    </xf>
    <xf numFmtId="0" fontId="5" fillId="13" borderId="19" xfId="0" applyFont="1" applyFill="1" applyBorder="1" applyAlignment="1" applyProtection="1">
      <alignment horizontal="center" wrapText="1"/>
      <protection locked="0"/>
    </xf>
    <xf numFmtId="165" fontId="5" fillId="13" borderId="25" xfId="2" applyNumberFormat="1" applyFont="1" applyFill="1" applyBorder="1" applyAlignment="1" applyProtection="1">
      <alignment horizontal="center" wrapText="1"/>
      <protection locked="0"/>
    </xf>
    <xf numFmtId="165" fontId="5" fillId="13" borderId="29" xfId="2" applyNumberFormat="1" applyFont="1" applyFill="1" applyBorder="1" applyAlignment="1" applyProtection="1">
      <alignment horizontal="center" wrapText="1"/>
      <protection locked="0"/>
    </xf>
    <xf numFmtId="165" fontId="5" fillId="13" borderId="3" xfId="2" applyNumberFormat="1" applyFont="1" applyFill="1" applyBorder="1" applyAlignment="1" applyProtection="1">
      <alignment horizontal="center" wrapText="1"/>
      <protection locked="0"/>
    </xf>
    <xf numFmtId="0" fontId="4" fillId="13" borderId="19" xfId="0" applyFont="1" applyFill="1" applyBorder="1" applyAlignment="1" applyProtection="1">
      <alignment horizontal="center" vertical="center" wrapText="1"/>
      <protection locked="0"/>
    </xf>
    <xf numFmtId="0" fontId="5" fillId="13" borderId="21" xfId="0" applyFont="1" applyFill="1" applyBorder="1" applyAlignment="1" applyProtection="1">
      <alignment horizontal="center" vertical="center" wrapText="1"/>
      <protection locked="0"/>
    </xf>
    <xf numFmtId="0" fontId="19" fillId="3" borderId="37" xfId="0" applyFont="1" applyFill="1" applyBorder="1" applyAlignment="1" applyProtection="1">
      <alignment horizontal="center" vertical="center" wrapText="1"/>
      <protection locked="0"/>
    </xf>
    <xf numFmtId="165" fontId="19" fillId="3" borderId="1" xfId="1" applyNumberFormat="1" applyFont="1" applyFill="1" applyBorder="1" applyAlignment="1" applyProtection="1">
      <alignment horizontal="center" wrapText="1"/>
      <protection locked="0"/>
    </xf>
    <xf numFmtId="0" fontId="19" fillId="3" borderId="16" xfId="0" applyFont="1" applyFill="1" applyBorder="1" applyAlignment="1" applyProtection="1">
      <alignment horizontal="center" vertical="center" wrapText="1"/>
      <protection locked="0"/>
    </xf>
    <xf numFmtId="0" fontId="19" fillId="3" borderId="11" xfId="0" applyFont="1" applyFill="1" applyBorder="1" applyAlignment="1" applyProtection="1">
      <alignment horizontal="center" vertical="center" wrapText="1"/>
      <protection locked="0"/>
    </xf>
    <xf numFmtId="0" fontId="19" fillId="3" borderId="9" xfId="0" applyFont="1" applyFill="1" applyBorder="1" applyAlignment="1" applyProtection="1">
      <alignment horizontal="center" wrapText="1"/>
      <protection locked="0"/>
    </xf>
    <xf numFmtId="0" fontId="19" fillId="4" borderId="9" xfId="0" applyFont="1" applyFill="1" applyBorder="1" applyAlignment="1" applyProtection="1">
      <alignment horizontal="center" vertical="center" wrapText="1"/>
      <protection locked="0"/>
    </xf>
    <xf numFmtId="0" fontId="3" fillId="0" borderId="5"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3" fillId="0" borderId="1" xfId="0" applyFont="1" applyBorder="1" applyAlignment="1">
      <alignment vertical="top" wrapText="1"/>
    </xf>
    <xf numFmtId="0" fontId="53" fillId="0" borderId="1" xfId="0" applyFont="1" applyBorder="1" applyAlignment="1">
      <alignment vertical="center" wrapText="1"/>
    </xf>
    <xf numFmtId="0" fontId="3" fillId="0" borderId="4" xfId="0" applyFont="1" applyFill="1" applyBorder="1" applyAlignment="1" applyProtection="1">
      <alignment horizontal="left" vertical="center" wrapText="1"/>
    </xf>
    <xf numFmtId="0" fontId="28" fillId="4" borderId="1" xfId="0" applyFont="1" applyFill="1" applyBorder="1" applyAlignment="1" applyProtection="1">
      <alignment horizontal="left" vertical="center" wrapText="1"/>
    </xf>
    <xf numFmtId="0" fontId="28" fillId="4" borderId="10" xfId="0" applyFont="1" applyFill="1" applyBorder="1" applyAlignment="1" applyProtection="1">
      <alignment vertical="center" wrapText="1"/>
    </xf>
    <xf numFmtId="0" fontId="16" fillId="4" borderId="10" xfId="0" applyFont="1" applyFill="1" applyBorder="1" applyAlignment="1" applyProtection="1">
      <alignment vertical="center" wrapText="1"/>
      <protection locked="0"/>
    </xf>
    <xf numFmtId="0" fontId="16" fillId="4" borderId="10" xfId="0" applyFont="1" applyFill="1" applyBorder="1" applyAlignment="1" applyProtection="1">
      <alignment wrapText="1"/>
      <protection locked="0"/>
    </xf>
    <xf numFmtId="0" fontId="14" fillId="4" borderId="9" xfId="0" applyFont="1" applyFill="1" applyBorder="1" applyAlignment="1">
      <alignment horizontal="center" vertical="center"/>
    </xf>
    <xf numFmtId="165" fontId="19" fillId="5" borderId="10" xfId="0" applyNumberFormat="1" applyFont="1" applyFill="1" applyBorder="1" applyAlignment="1" applyProtection="1">
      <alignment horizontal="right"/>
      <protection locked="0"/>
    </xf>
    <xf numFmtId="165" fontId="14" fillId="5" borderId="10" xfId="2" applyNumberFormat="1" applyFont="1" applyFill="1" applyBorder="1" applyAlignment="1" applyProtection="1">
      <alignment horizontal="right" vertical="center"/>
      <protection locked="0"/>
    </xf>
    <xf numFmtId="165" fontId="19" fillId="5" borderId="10" xfId="1" applyNumberFormat="1" applyFont="1" applyFill="1" applyBorder="1" applyAlignment="1" applyProtection="1">
      <alignment horizontal="right" vertical="center"/>
      <protection locked="0"/>
    </xf>
    <xf numFmtId="0" fontId="16" fillId="16" borderId="1" xfId="0" applyFont="1" applyFill="1" applyBorder="1" applyAlignment="1" applyProtection="1">
      <alignment vertical="center" wrapText="1"/>
      <protection locked="0"/>
    </xf>
    <xf numFmtId="0" fontId="57" fillId="0" borderId="0" xfId="0" applyFont="1" applyAlignment="1">
      <alignment vertical="center" wrapText="1"/>
    </xf>
    <xf numFmtId="0" fontId="58" fillId="0" borderId="0" xfId="0" applyFont="1"/>
    <xf numFmtId="0" fontId="59" fillId="0" borderId="0" xfId="0" applyFont="1"/>
    <xf numFmtId="0" fontId="60" fillId="0" borderId="0" xfId="0" applyFont="1" applyAlignment="1">
      <alignment vertical="center" wrapText="1"/>
    </xf>
    <xf numFmtId="165" fontId="19" fillId="13" borderId="1" xfId="1" applyNumberFormat="1" applyFont="1" applyFill="1" applyBorder="1" applyAlignment="1" applyProtection="1">
      <alignment horizontal="center" wrapText="1"/>
      <protection locked="0"/>
    </xf>
    <xf numFmtId="0" fontId="3" fillId="0" borderId="4" xfId="0" applyFont="1" applyFill="1" applyBorder="1" applyAlignment="1" applyProtection="1">
      <alignment horizontal="left" vertical="top" wrapText="1"/>
    </xf>
    <xf numFmtId="0" fontId="3" fillId="0" borderId="4" xfId="0" applyFont="1" applyFill="1" applyBorder="1" applyAlignment="1" applyProtection="1">
      <alignment horizontal="left" vertical="center" wrapText="1"/>
    </xf>
    <xf numFmtId="0" fontId="5" fillId="13" borderId="1" xfId="0" applyFont="1" applyFill="1" applyBorder="1" applyAlignment="1" applyProtection="1">
      <alignment horizontal="center" vertical="center" wrapText="1"/>
      <protection locked="0"/>
    </xf>
    <xf numFmtId="0" fontId="14" fillId="13" borderId="1" xfId="0" applyFont="1" applyFill="1" applyBorder="1" applyAlignment="1" applyProtection="1">
      <alignment horizontal="center" wrapText="1"/>
      <protection locked="0"/>
    </xf>
    <xf numFmtId="165" fontId="14" fillId="13" borderId="1" xfId="1" applyNumberFormat="1" applyFont="1" applyFill="1" applyBorder="1" applyAlignment="1" applyProtection="1">
      <alignment horizontal="center" vertical="center" wrapText="1"/>
      <protection locked="0"/>
    </xf>
    <xf numFmtId="0" fontId="14" fillId="13" borderId="1" xfId="0" applyFont="1" applyFill="1" applyBorder="1" applyAlignment="1" applyProtection="1">
      <alignment horizontal="center" vertical="center" wrapText="1"/>
      <protection locked="0"/>
    </xf>
    <xf numFmtId="165" fontId="5" fillId="0" borderId="4" xfId="2" applyNumberFormat="1" applyFont="1" applyFill="1" applyBorder="1" applyAlignment="1" applyProtection="1">
      <protection locked="0"/>
    </xf>
    <xf numFmtId="0" fontId="18" fillId="13" borderId="3" xfId="0" applyFont="1" applyFill="1" applyBorder="1" applyAlignment="1" applyProtection="1">
      <alignment horizontal="left" vertical="center" wrapText="1"/>
    </xf>
    <xf numFmtId="165" fontId="19" fillId="13" borderId="1" xfId="1" applyNumberFormat="1" applyFont="1" applyFill="1" applyBorder="1" applyAlignment="1" applyProtection="1">
      <alignment horizontal="center" wrapText="1"/>
      <protection locked="0"/>
    </xf>
    <xf numFmtId="165" fontId="19" fillId="13" borderId="12" xfId="1" applyNumberFormat="1" applyFont="1" applyFill="1" applyBorder="1" applyAlignment="1" applyProtection="1">
      <alignment horizontal="center" wrapText="1"/>
      <protection locked="0"/>
    </xf>
    <xf numFmtId="0" fontId="5" fillId="13" borderId="1" xfId="0" applyFont="1" applyFill="1" applyBorder="1" applyAlignment="1" applyProtection="1">
      <alignment horizontal="center" vertical="center" wrapText="1"/>
      <protection locked="0"/>
    </xf>
    <xf numFmtId="165" fontId="5" fillId="13" borderId="1" xfId="2" applyNumberFormat="1" applyFont="1" applyFill="1" applyBorder="1" applyAlignment="1" applyProtection="1">
      <alignment horizontal="center" vertical="center" wrapText="1"/>
      <protection locked="0"/>
    </xf>
    <xf numFmtId="0" fontId="12" fillId="0" borderId="1" xfId="0" applyFont="1" applyFill="1" applyBorder="1" applyAlignment="1" applyProtection="1">
      <alignment horizontal="left" vertical="top" wrapText="1"/>
    </xf>
    <xf numFmtId="164" fontId="14" fillId="13" borderId="1" xfId="2" applyFont="1" applyFill="1" applyBorder="1" applyAlignment="1" applyProtection="1">
      <alignment horizontal="center" vertical="center" wrapText="1"/>
      <protection locked="0"/>
    </xf>
    <xf numFmtId="165" fontId="14" fillId="13" borderId="1" xfId="1" applyNumberFormat="1" applyFont="1" applyFill="1" applyBorder="1" applyAlignment="1" applyProtection="1">
      <alignment vertical="center" wrapText="1"/>
      <protection locked="0"/>
    </xf>
    <xf numFmtId="165" fontId="5" fillId="13" borderId="5" xfId="2" applyNumberFormat="1" applyFont="1" applyFill="1" applyBorder="1" applyAlignment="1" applyProtection="1">
      <alignment horizontal="right" vertical="center"/>
      <protection locked="0"/>
    </xf>
    <xf numFmtId="165" fontId="5" fillId="3" borderId="6" xfId="2" applyNumberFormat="1" applyFont="1" applyFill="1" applyBorder="1" applyAlignment="1" applyProtection="1">
      <alignment horizontal="center" vertical="center" wrapText="1"/>
      <protection locked="0"/>
    </xf>
    <xf numFmtId="165" fontId="5" fillId="3" borderId="12" xfId="2" applyNumberFormat="1" applyFont="1" applyFill="1" applyBorder="1" applyAlignment="1" applyProtection="1">
      <alignment horizontal="center" vertical="center" wrapText="1"/>
      <protection locked="0"/>
    </xf>
    <xf numFmtId="0" fontId="69" fillId="0"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top" wrapText="1"/>
    </xf>
    <xf numFmtId="0" fontId="5" fillId="4" borderId="1" xfId="0" applyFont="1" applyFill="1" applyBorder="1" applyAlignment="1" applyProtection="1">
      <alignment horizontal="center" vertical="center" wrapText="1"/>
      <protection locked="0"/>
    </xf>
    <xf numFmtId="0" fontId="13" fillId="0" borderId="1" xfId="4" applyFont="1" applyFill="1" applyBorder="1" applyAlignment="1" applyProtection="1">
      <alignment horizontal="center" vertical="center" wrapText="1"/>
    </xf>
    <xf numFmtId="0" fontId="40" fillId="4" borderId="0" xfId="0" applyFont="1" applyFill="1" applyBorder="1" applyAlignment="1" applyProtection="1">
      <alignment horizontal="left"/>
      <protection locked="0"/>
    </xf>
    <xf numFmtId="165" fontId="19" fillId="16" borderId="1" xfId="0" applyNumberFormat="1" applyFont="1" applyFill="1" applyBorder="1" applyAlignment="1" applyProtection="1">
      <alignment horizontal="left"/>
      <protection locked="0"/>
    </xf>
    <xf numFmtId="0" fontId="47" fillId="3" borderId="1" xfId="0" applyFont="1" applyFill="1" applyBorder="1" applyAlignment="1" applyProtection="1">
      <alignment horizontal="left"/>
      <protection locked="0"/>
    </xf>
    <xf numFmtId="0" fontId="40" fillId="0" borderId="0" xfId="0" applyFont="1" applyFill="1" applyBorder="1" applyAlignment="1" applyProtection="1">
      <alignment horizontal="left"/>
      <protection locked="0"/>
    </xf>
    <xf numFmtId="0" fontId="28" fillId="4"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top" wrapText="1"/>
    </xf>
    <xf numFmtId="0" fontId="28" fillId="4" borderId="1" xfId="0" applyFont="1" applyFill="1" applyBorder="1" applyAlignment="1" applyProtection="1">
      <alignment horizontal="left" vertical="center" wrapText="1"/>
    </xf>
    <xf numFmtId="0" fontId="63" fillId="0" borderId="0" xfId="0" applyFont="1" applyAlignment="1">
      <alignment vertical="center" wrapText="1"/>
    </xf>
    <xf numFmtId="0" fontId="64" fillId="0" borderId="0" xfId="3" applyFont="1" applyAlignment="1" applyProtection="1">
      <alignment horizontal="justify" vertical="center" wrapText="1"/>
    </xf>
    <xf numFmtId="0" fontId="65" fillId="0" borderId="0" xfId="0" applyFont="1"/>
    <xf numFmtId="0" fontId="68" fillId="0" borderId="0" xfId="0" applyFont="1" applyAlignment="1">
      <alignment horizontal="left"/>
    </xf>
    <xf numFmtId="0" fontId="57" fillId="0" borderId="0" xfId="0" applyFont="1" applyAlignment="1">
      <alignment vertical="center" wrapText="1"/>
    </xf>
    <xf numFmtId="0" fontId="61" fillId="0" borderId="0" xfId="0" applyFont="1" applyAlignment="1">
      <alignment horizontal="justify" vertical="center" wrapText="1"/>
    </xf>
    <xf numFmtId="0" fontId="0" fillId="0" borderId="0" xfId="0"/>
    <xf numFmtId="0" fontId="62" fillId="0" borderId="0" xfId="3" applyFont="1" applyAlignment="1" applyProtection="1">
      <alignment vertical="center" wrapText="1"/>
    </xf>
    <xf numFmtId="0" fontId="54" fillId="13" borderId="85" xfId="0" applyFont="1" applyFill="1" applyBorder="1" applyAlignment="1">
      <alignment horizontal="center"/>
    </xf>
    <xf numFmtId="0" fontId="54" fillId="13" borderId="86" xfId="0" applyFont="1" applyFill="1" applyBorder="1" applyAlignment="1">
      <alignment horizontal="center"/>
    </xf>
    <xf numFmtId="0" fontId="54" fillId="13" borderId="87" xfId="0" applyFont="1" applyFill="1" applyBorder="1" applyAlignment="1">
      <alignment horizontal="center"/>
    </xf>
    <xf numFmtId="0" fontId="55" fillId="13" borderId="88" xfId="0" applyFont="1" applyFill="1" applyBorder="1" applyAlignment="1">
      <alignment horizontal="center"/>
    </xf>
    <xf numFmtId="0" fontId="55" fillId="13" borderId="89" xfId="0" applyFont="1" applyFill="1" applyBorder="1" applyAlignment="1">
      <alignment horizontal="center"/>
    </xf>
    <xf numFmtId="0" fontId="54" fillId="6" borderId="90" xfId="0" applyFont="1" applyFill="1" applyBorder="1" applyAlignment="1">
      <alignment horizontal="center"/>
    </xf>
    <xf numFmtId="0" fontId="54" fillId="6" borderId="91" xfId="0" applyFont="1" applyFill="1" applyBorder="1" applyAlignment="1">
      <alignment horizontal="center"/>
    </xf>
    <xf numFmtId="0" fontId="54" fillId="6" borderId="92" xfId="0" applyFont="1" applyFill="1" applyBorder="1" applyAlignment="1">
      <alignment horizontal="center" wrapText="1"/>
    </xf>
    <xf numFmtId="0" fontId="54" fillId="6" borderId="93" xfId="0" applyFont="1" applyFill="1" applyBorder="1" applyAlignment="1">
      <alignment horizontal="center" wrapText="1"/>
    </xf>
    <xf numFmtId="0" fontId="54" fillId="6" borderId="77" xfId="0" applyFont="1" applyFill="1" applyBorder="1" applyAlignment="1">
      <alignment horizontal="center"/>
    </xf>
    <xf numFmtId="0" fontId="54" fillId="6" borderId="79" xfId="0" applyFont="1" applyFill="1" applyBorder="1" applyAlignment="1">
      <alignment horizontal="center"/>
    </xf>
    <xf numFmtId="0" fontId="54" fillId="6" borderId="80" xfId="0" applyFont="1" applyFill="1" applyBorder="1" applyAlignment="1">
      <alignment horizontal="center"/>
    </xf>
    <xf numFmtId="0" fontId="54" fillId="18" borderId="94" xfId="0" applyFont="1" applyFill="1" applyBorder="1" applyAlignment="1">
      <alignment horizontal="center"/>
    </xf>
    <xf numFmtId="0" fontId="54" fillId="18" borderId="95" xfId="0" applyFont="1" applyFill="1" applyBorder="1" applyAlignment="1">
      <alignment horizontal="center"/>
    </xf>
    <xf numFmtId="0" fontId="54" fillId="18" borderId="94" xfId="0" applyFont="1" applyFill="1" applyBorder="1" applyAlignment="1">
      <alignment horizontal="center" wrapText="1"/>
    </xf>
    <xf numFmtId="0" fontId="54" fillId="18" borderId="95" xfId="0" applyFont="1" applyFill="1" applyBorder="1" applyAlignment="1">
      <alignment horizontal="center" wrapText="1"/>
    </xf>
    <xf numFmtId="0" fontId="54" fillId="18" borderId="96" xfId="0" applyFont="1" applyFill="1" applyBorder="1" applyAlignment="1">
      <alignment horizontal="center"/>
    </xf>
    <xf numFmtId="0" fontId="54" fillId="18" borderId="97" xfId="0" applyFont="1" applyFill="1" applyBorder="1" applyAlignment="1">
      <alignment horizontal="center"/>
    </xf>
    <xf numFmtId="0" fontId="54" fillId="18" borderId="98" xfId="0" applyFont="1" applyFill="1" applyBorder="1" applyAlignment="1">
      <alignment horizontal="center"/>
    </xf>
    <xf numFmtId="0" fontId="50" fillId="13" borderId="25" xfId="0" applyFont="1" applyFill="1" applyBorder="1" applyAlignment="1" applyProtection="1">
      <alignment vertical="center"/>
      <protection locked="0"/>
    </xf>
    <xf numFmtId="0" fontId="50" fillId="13" borderId="29" xfId="0" applyFont="1" applyFill="1" applyBorder="1" applyAlignment="1" applyProtection="1">
      <alignment vertical="center"/>
      <protection locked="0"/>
    </xf>
    <xf numFmtId="0" fontId="50" fillId="13" borderId="3" xfId="0" applyFont="1" applyFill="1" applyBorder="1" applyAlignment="1" applyProtection="1">
      <alignment vertical="center"/>
      <protection locked="0"/>
    </xf>
    <xf numFmtId="0" fontId="51" fillId="14" borderId="25" xfId="0" applyFont="1" applyFill="1" applyBorder="1" applyAlignment="1" applyProtection="1">
      <alignment horizontal="center" vertical="center" wrapText="1"/>
    </xf>
    <xf numFmtId="0" fontId="51" fillId="14" borderId="29" xfId="0" applyFont="1" applyFill="1" applyBorder="1" applyAlignment="1" applyProtection="1">
      <alignment horizontal="center" vertical="center" wrapText="1"/>
    </xf>
    <xf numFmtId="0" fontId="51" fillId="14" borderId="3" xfId="0" applyFont="1" applyFill="1" applyBorder="1" applyAlignment="1" applyProtection="1">
      <alignment horizontal="center" vertical="center" wrapText="1"/>
    </xf>
    <xf numFmtId="0" fontId="18" fillId="13" borderId="25" xfId="0" applyFont="1" applyFill="1" applyBorder="1" applyAlignment="1" applyProtection="1">
      <alignment horizontal="left" vertical="center" wrapText="1"/>
    </xf>
    <xf numFmtId="0" fontId="18" fillId="13" borderId="29" xfId="0" applyFont="1" applyFill="1" applyBorder="1" applyAlignment="1" applyProtection="1">
      <alignment horizontal="left" vertical="center" wrapText="1"/>
    </xf>
    <xf numFmtId="0" fontId="18" fillId="13" borderId="3" xfId="0" applyFont="1" applyFill="1" applyBorder="1" applyAlignment="1" applyProtection="1">
      <alignment horizontal="left" vertical="center" wrapText="1"/>
    </xf>
    <xf numFmtId="0" fontId="18" fillId="13" borderId="25" xfId="0" applyFont="1" applyFill="1" applyBorder="1" applyAlignment="1" applyProtection="1">
      <alignment horizontal="center" vertical="center" wrapText="1"/>
    </xf>
    <xf numFmtId="0" fontId="18" fillId="13" borderId="29" xfId="0" applyFont="1" applyFill="1" applyBorder="1" applyAlignment="1" applyProtection="1">
      <alignment horizontal="center" vertical="center" wrapText="1"/>
    </xf>
    <xf numFmtId="0" fontId="18" fillId="13" borderId="3" xfId="0" applyFont="1" applyFill="1" applyBorder="1" applyAlignment="1" applyProtection="1">
      <alignment horizontal="center" vertical="center" wrapText="1"/>
    </xf>
    <xf numFmtId="0" fontId="28" fillId="4" borderId="1" xfId="0" applyFont="1" applyFill="1" applyBorder="1" applyAlignment="1" applyProtection="1">
      <alignment vertical="center" wrapText="1"/>
    </xf>
    <xf numFmtId="0" fontId="28" fillId="4" borderId="1" xfId="0" applyFont="1" applyFill="1" applyBorder="1" applyAlignment="1" applyProtection="1">
      <alignment horizontal="left" vertical="center" wrapText="1"/>
    </xf>
    <xf numFmtId="0" fontId="27" fillId="13" borderId="25" xfId="0" applyFont="1" applyFill="1" applyBorder="1" applyAlignment="1" applyProtection="1">
      <alignment horizontal="left" vertical="center" wrapText="1"/>
    </xf>
    <xf numFmtId="0" fontId="27" fillId="13" borderId="29" xfId="0" applyFont="1" applyFill="1" applyBorder="1" applyAlignment="1" applyProtection="1">
      <alignment horizontal="left" vertical="center" wrapText="1"/>
    </xf>
    <xf numFmtId="0" fontId="27" fillId="13" borderId="3" xfId="0" applyFont="1" applyFill="1" applyBorder="1" applyAlignment="1" applyProtection="1">
      <alignment horizontal="left" vertical="center" wrapText="1"/>
    </xf>
    <xf numFmtId="0" fontId="18" fillId="14" borderId="25" xfId="0" applyFont="1" applyFill="1" applyBorder="1" applyAlignment="1" applyProtection="1">
      <alignment horizontal="left" vertical="center" wrapText="1"/>
    </xf>
    <xf numFmtId="0" fontId="18" fillId="14" borderId="29" xfId="0" applyFont="1" applyFill="1" applyBorder="1" applyAlignment="1" applyProtection="1">
      <alignment horizontal="left" vertical="center" wrapText="1"/>
    </xf>
    <xf numFmtId="0" fontId="18" fillId="14" borderId="3" xfId="0" applyFont="1" applyFill="1" applyBorder="1" applyAlignment="1" applyProtection="1">
      <alignment horizontal="left" vertical="center" wrapText="1"/>
    </xf>
    <xf numFmtId="0" fontId="28" fillId="4" borderId="10" xfId="0" applyFont="1" applyFill="1" applyBorder="1" applyAlignment="1" applyProtection="1">
      <alignment vertical="center" wrapText="1"/>
    </xf>
    <xf numFmtId="0" fontId="28" fillId="4" borderId="4" xfId="0" applyFont="1" applyFill="1" applyBorder="1" applyAlignment="1" applyProtection="1">
      <alignment vertical="center" wrapText="1"/>
    </xf>
    <xf numFmtId="0" fontId="28" fillId="4" borderId="10" xfId="0" applyFont="1" applyFill="1" applyBorder="1" applyAlignment="1" applyProtection="1">
      <alignment horizontal="left" vertical="center" wrapText="1"/>
    </xf>
    <xf numFmtId="0" fontId="28" fillId="4" borderId="4" xfId="0" applyFont="1" applyFill="1" applyBorder="1" applyAlignment="1" applyProtection="1">
      <alignment horizontal="left" vertical="center" wrapText="1"/>
    </xf>
    <xf numFmtId="0" fontId="27" fillId="14" borderId="25" xfId="0" applyFont="1" applyFill="1" applyBorder="1" applyAlignment="1" applyProtection="1">
      <alignment horizontal="left" vertical="center" wrapText="1"/>
    </xf>
    <xf numFmtId="0" fontId="27" fillId="14" borderId="29" xfId="0" applyFont="1" applyFill="1" applyBorder="1" applyAlignment="1" applyProtection="1">
      <alignment horizontal="left" vertical="center" wrapText="1"/>
    </xf>
    <xf numFmtId="0" fontId="27" fillId="14" borderId="3" xfId="0" applyFont="1" applyFill="1" applyBorder="1" applyAlignment="1" applyProtection="1">
      <alignment horizontal="left" vertical="center" wrapText="1"/>
    </xf>
    <xf numFmtId="0" fontId="28" fillId="4" borderId="38" xfId="0" applyFont="1" applyFill="1" applyBorder="1" applyAlignment="1" applyProtection="1">
      <alignment horizontal="center" vertical="center" wrapText="1"/>
    </xf>
    <xf numFmtId="0" fontId="28" fillId="4" borderId="6" xfId="0" applyFont="1" applyFill="1" applyBorder="1" applyAlignment="1" applyProtection="1">
      <alignment horizontal="center" vertical="center" wrapText="1"/>
    </xf>
    <xf numFmtId="0" fontId="28" fillId="4" borderId="8" xfId="0" applyFont="1" applyFill="1" applyBorder="1" applyAlignment="1" applyProtection="1">
      <alignment horizontal="center" vertical="center" wrapText="1"/>
    </xf>
    <xf numFmtId="0" fontId="28" fillId="4" borderId="22" xfId="0" applyFont="1" applyFill="1" applyBorder="1" applyAlignment="1" applyProtection="1">
      <alignment horizontal="center" vertical="center" wrapText="1"/>
    </xf>
    <xf numFmtId="0" fontId="28" fillId="4" borderId="10" xfId="0" applyFont="1" applyFill="1" applyBorder="1" applyAlignment="1" applyProtection="1">
      <alignment horizontal="center" vertical="center" wrapText="1"/>
    </xf>
    <xf numFmtId="2" fontId="28" fillId="4" borderId="10" xfId="0" applyNumberFormat="1" applyFont="1" applyFill="1" applyBorder="1" applyAlignment="1" applyProtection="1">
      <alignment horizontal="center" vertical="center" wrapText="1"/>
    </xf>
    <xf numFmtId="2" fontId="28" fillId="4" borderId="22" xfId="0" applyNumberFormat="1" applyFont="1" applyFill="1" applyBorder="1" applyAlignment="1" applyProtection="1">
      <alignment horizontal="center" vertical="center" wrapText="1"/>
    </xf>
    <xf numFmtId="0" fontId="28" fillId="4" borderId="11" xfId="0" applyFont="1" applyFill="1" applyBorder="1" applyAlignment="1" applyProtection="1">
      <alignment horizontal="center" vertical="center" wrapText="1"/>
    </xf>
    <xf numFmtId="0" fontId="28" fillId="4" borderId="33" xfId="0" applyFont="1" applyFill="1" applyBorder="1" applyAlignment="1" applyProtection="1">
      <alignment horizontal="center" vertical="center" wrapText="1"/>
    </xf>
    <xf numFmtId="0" fontId="28" fillId="4" borderId="4" xfId="0" applyFont="1" applyFill="1" applyBorder="1" applyAlignment="1" applyProtection="1">
      <alignment horizontal="center" vertical="center" wrapText="1"/>
    </xf>
    <xf numFmtId="165" fontId="26" fillId="13" borderId="1" xfId="2" applyNumberFormat="1" applyFont="1" applyFill="1" applyBorder="1" applyAlignment="1" applyProtection="1">
      <alignment horizontal="center" vertical="center" wrapText="1"/>
      <protection locked="0"/>
    </xf>
    <xf numFmtId="0" fontId="26" fillId="13" borderId="1" xfId="0" applyFont="1" applyFill="1" applyBorder="1" applyAlignment="1" applyProtection="1">
      <alignment horizontal="center" vertical="center" wrapText="1"/>
      <protection locked="0"/>
    </xf>
    <xf numFmtId="0" fontId="26" fillId="13" borderId="10" xfId="0" applyFont="1" applyFill="1" applyBorder="1" applyAlignment="1" applyProtection="1">
      <alignment horizontal="center" vertical="center" wrapText="1"/>
      <protection locked="0"/>
    </xf>
    <xf numFmtId="0" fontId="26" fillId="13" borderId="22" xfId="0" applyFont="1" applyFill="1" applyBorder="1" applyAlignment="1" applyProtection="1">
      <alignment horizontal="center" vertical="center" wrapText="1"/>
      <protection locked="0"/>
    </xf>
    <xf numFmtId="0" fontId="26" fillId="13" borderId="4" xfId="0" applyFont="1" applyFill="1" applyBorder="1" applyAlignment="1" applyProtection="1">
      <alignment horizontal="center" vertical="center" wrapText="1"/>
      <protection locked="0"/>
    </xf>
    <xf numFmtId="0" fontId="70" fillId="0" borderId="1" xfId="0" applyFont="1" applyFill="1" applyBorder="1" applyAlignment="1" applyProtection="1">
      <alignment horizontal="left" vertical="center" wrapText="1"/>
    </xf>
    <xf numFmtId="0" fontId="28" fillId="4" borderId="22" xfId="0" applyFont="1" applyFill="1" applyBorder="1" applyAlignment="1" applyProtection="1">
      <alignment horizontal="left" vertical="center" wrapText="1"/>
    </xf>
    <xf numFmtId="0" fontId="11" fillId="4" borderId="21" xfId="0" applyFont="1" applyFill="1" applyBorder="1" applyAlignment="1">
      <alignment horizontal="center" wrapText="1"/>
    </xf>
    <xf numFmtId="164" fontId="26" fillId="13" borderId="1" xfId="1" applyFont="1" applyFill="1" applyBorder="1" applyAlignment="1" applyProtection="1">
      <alignment horizontal="center" vertical="center" wrapText="1"/>
      <protection locked="0"/>
    </xf>
    <xf numFmtId="0" fontId="27" fillId="4" borderId="1" xfId="4" applyFont="1" applyFill="1" applyBorder="1" applyAlignment="1" applyProtection="1">
      <alignment vertical="center" wrapText="1"/>
    </xf>
    <xf numFmtId="0" fontId="44" fillId="14" borderId="25" xfId="0" applyFont="1" applyFill="1" applyBorder="1" applyAlignment="1" applyProtection="1">
      <alignment horizontal="left" vertical="center" wrapText="1"/>
    </xf>
    <xf numFmtId="0" fontId="44" fillId="14" borderId="29" xfId="0" applyFont="1" applyFill="1" applyBorder="1" applyAlignment="1" applyProtection="1">
      <alignment horizontal="left" vertical="center" wrapText="1"/>
    </xf>
    <xf numFmtId="0" fontId="44" fillId="14" borderId="3" xfId="0" applyFont="1" applyFill="1" applyBorder="1" applyAlignment="1" applyProtection="1">
      <alignment horizontal="left" vertical="center" wrapText="1"/>
    </xf>
    <xf numFmtId="0" fontId="28" fillId="4" borderId="22" xfId="0" applyFont="1" applyFill="1" applyBorder="1" applyAlignment="1" applyProtection="1">
      <alignment vertical="center" wrapText="1"/>
    </xf>
    <xf numFmtId="0" fontId="26" fillId="13" borderId="25" xfId="0" applyFont="1" applyFill="1" applyBorder="1" applyAlignment="1" applyProtection="1">
      <alignment horizontal="center" vertical="center" wrapText="1"/>
      <protection locked="0"/>
    </xf>
    <xf numFmtId="0" fontId="26" fillId="13" borderId="29" xfId="0" applyFont="1" applyFill="1" applyBorder="1" applyAlignment="1" applyProtection="1">
      <alignment horizontal="center" vertical="center" wrapText="1"/>
      <protection locked="0"/>
    </xf>
    <xf numFmtId="0" fontId="26" fillId="13" borderId="3" xfId="0" applyFont="1" applyFill="1" applyBorder="1" applyAlignment="1" applyProtection="1">
      <alignment horizontal="center" vertical="center" wrapText="1"/>
      <protection locked="0"/>
    </xf>
    <xf numFmtId="165" fontId="26" fillId="13" borderId="11" xfId="2" applyNumberFormat="1" applyFont="1" applyFill="1" applyBorder="1" applyAlignment="1" applyProtection="1">
      <alignment horizontal="center" vertical="center" wrapText="1"/>
      <protection locked="0"/>
    </xf>
    <xf numFmtId="165" fontId="26" fillId="13" borderId="24" xfId="2" applyNumberFormat="1" applyFont="1" applyFill="1" applyBorder="1" applyAlignment="1" applyProtection="1">
      <alignment horizontal="center" vertical="center" wrapText="1"/>
      <protection locked="0"/>
    </xf>
    <xf numFmtId="165" fontId="26" fillId="13" borderId="9" xfId="2" applyNumberFormat="1" applyFont="1" applyFill="1" applyBorder="1" applyAlignment="1" applyProtection="1">
      <alignment horizontal="center" vertical="center" wrapText="1"/>
      <protection locked="0"/>
    </xf>
    <xf numFmtId="165" fontId="26" fillId="13" borderId="33" xfId="2" applyNumberFormat="1" applyFont="1" applyFill="1" applyBorder="1" applyAlignment="1" applyProtection="1">
      <alignment horizontal="center" vertical="center" wrapText="1"/>
      <protection locked="0"/>
    </xf>
    <xf numFmtId="165" fontId="26" fillId="13" borderId="0" xfId="2" applyNumberFormat="1" applyFont="1" applyFill="1" applyBorder="1" applyAlignment="1" applyProtection="1">
      <alignment horizontal="center" vertical="center" wrapText="1"/>
      <protection locked="0"/>
    </xf>
    <xf numFmtId="165" fontId="26" fillId="13" borderId="35" xfId="2" applyNumberFormat="1" applyFont="1" applyFill="1" applyBorder="1" applyAlignment="1" applyProtection="1">
      <alignment horizontal="center" vertical="center" wrapText="1"/>
      <protection locked="0"/>
    </xf>
    <xf numFmtId="165" fontId="26" fillId="13" borderId="26" xfId="2" applyNumberFormat="1" applyFont="1" applyFill="1" applyBorder="1" applyAlignment="1" applyProtection="1">
      <alignment horizontal="center" vertical="center" wrapText="1"/>
      <protection locked="0"/>
    </xf>
    <xf numFmtId="165" fontId="26" fillId="13" borderId="21" xfId="2" applyNumberFormat="1" applyFont="1" applyFill="1" applyBorder="1" applyAlignment="1" applyProtection="1">
      <alignment horizontal="center" vertical="center" wrapText="1"/>
      <protection locked="0"/>
    </xf>
    <xf numFmtId="165" fontId="26" fillId="13" borderId="19" xfId="2" applyNumberFormat="1" applyFont="1" applyFill="1" applyBorder="1" applyAlignment="1" applyProtection="1">
      <alignment horizontal="center" vertical="center" wrapText="1"/>
      <protection locked="0"/>
    </xf>
    <xf numFmtId="0" fontId="26" fillId="13" borderId="29" xfId="0" applyFont="1" applyFill="1" applyBorder="1" applyAlignment="1" applyProtection="1">
      <alignment horizontal="left" vertical="center" wrapText="1"/>
      <protection locked="0"/>
    </xf>
    <xf numFmtId="0" fontId="26" fillId="13" borderId="3" xfId="0" applyFont="1" applyFill="1" applyBorder="1" applyAlignment="1" applyProtection="1">
      <alignment horizontal="left" vertical="center" wrapText="1"/>
      <protection locked="0"/>
    </xf>
    <xf numFmtId="165" fontId="26" fillId="13" borderId="10" xfId="2" applyNumberFormat="1" applyFont="1" applyFill="1" applyBorder="1" applyAlignment="1" applyProtection="1">
      <alignment horizontal="center" vertical="center" wrapText="1"/>
      <protection locked="0"/>
    </xf>
    <xf numFmtId="165" fontId="26" fillId="13" borderId="4" xfId="2" applyNumberFormat="1" applyFont="1" applyFill="1" applyBorder="1" applyAlignment="1" applyProtection="1">
      <alignment horizontal="center" vertical="center" wrapText="1"/>
      <protection locked="0"/>
    </xf>
    <xf numFmtId="0" fontId="28" fillId="4" borderId="1" xfId="0" applyFont="1" applyFill="1" applyBorder="1" applyAlignment="1" applyProtection="1">
      <alignment horizontal="center" vertical="center" wrapText="1"/>
    </xf>
    <xf numFmtId="0" fontId="70" fillId="0" borderId="10" xfId="0" applyFont="1" applyFill="1" applyBorder="1" applyAlignment="1" applyProtection="1">
      <alignment horizontal="left" vertical="center" wrapText="1"/>
    </xf>
    <xf numFmtId="0" fontId="70" fillId="0" borderId="22" xfId="0" applyFont="1" applyFill="1" applyBorder="1" applyAlignment="1" applyProtection="1">
      <alignment horizontal="left" vertical="center" wrapText="1"/>
    </xf>
    <xf numFmtId="0" fontId="70" fillId="0" borderId="4" xfId="0" applyFont="1" applyFill="1" applyBorder="1" applyAlignment="1" applyProtection="1">
      <alignment horizontal="left" vertical="center" wrapText="1"/>
    </xf>
    <xf numFmtId="165" fontId="19" fillId="13" borderId="25" xfId="1" applyNumberFormat="1" applyFont="1" applyFill="1" applyBorder="1" applyAlignment="1" applyProtection="1">
      <alignment horizontal="center" wrapText="1"/>
      <protection locked="0"/>
    </xf>
    <xf numFmtId="165" fontId="19" fillId="13" borderId="29" xfId="1" applyNumberFormat="1" applyFont="1" applyFill="1" applyBorder="1" applyAlignment="1" applyProtection="1">
      <alignment horizontal="center" wrapText="1"/>
      <protection locked="0"/>
    </xf>
    <xf numFmtId="165" fontId="19" fillId="13" borderId="3" xfId="1" applyNumberFormat="1" applyFont="1" applyFill="1" applyBorder="1" applyAlignment="1" applyProtection="1">
      <alignment horizontal="center" wrapText="1"/>
      <protection locked="0"/>
    </xf>
    <xf numFmtId="165" fontId="19" fillId="13" borderId="5" xfId="1" applyNumberFormat="1" applyFont="1" applyFill="1" applyBorder="1" applyAlignment="1" applyProtection="1">
      <alignment horizontal="center" wrapText="1"/>
      <protection locked="0"/>
    </xf>
    <xf numFmtId="165" fontId="19" fillId="13" borderId="40" xfId="1" applyNumberFormat="1" applyFont="1" applyFill="1" applyBorder="1" applyAlignment="1" applyProtection="1">
      <alignment horizontal="center" wrapText="1"/>
      <protection locked="0"/>
    </xf>
    <xf numFmtId="165" fontId="19" fillId="13" borderId="13" xfId="1" applyNumberFormat="1" applyFont="1" applyFill="1" applyBorder="1" applyAlignment="1" applyProtection="1">
      <alignment horizontal="center" wrapText="1"/>
      <protection locked="0"/>
    </xf>
    <xf numFmtId="165" fontId="19" fillId="13" borderId="1" xfId="1" applyNumberFormat="1" applyFont="1" applyFill="1" applyBorder="1" applyAlignment="1" applyProtection="1">
      <alignment horizontal="center" wrapText="1"/>
      <protection locked="0"/>
    </xf>
    <xf numFmtId="165" fontId="19" fillId="13" borderId="12" xfId="1" applyNumberFormat="1" applyFont="1" applyFill="1" applyBorder="1" applyAlignment="1" applyProtection="1">
      <alignment horizontal="center" wrapText="1"/>
      <protection locked="0"/>
    </xf>
    <xf numFmtId="165" fontId="19" fillId="13" borderId="25" xfId="1" applyNumberFormat="1" applyFont="1" applyFill="1" applyBorder="1" applyAlignment="1" applyProtection="1">
      <alignment horizontal="center" vertical="center" wrapText="1"/>
      <protection locked="0"/>
    </xf>
    <xf numFmtId="165" fontId="19" fillId="13" borderId="29" xfId="1" applyNumberFormat="1" applyFont="1" applyFill="1" applyBorder="1" applyAlignment="1" applyProtection="1">
      <alignment horizontal="center" vertical="center" wrapText="1"/>
      <protection locked="0"/>
    </xf>
    <xf numFmtId="165" fontId="19" fillId="13" borderId="3" xfId="1" applyNumberFormat="1" applyFont="1" applyFill="1" applyBorder="1" applyAlignment="1" applyProtection="1">
      <alignment horizontal="center" vertical="center" wrapText="1"/>
      <protection locked="0"/>
    </xf>
    <xf numFmtId="0" fontId="16" fillId="0" borderId="1" xfId="0" applyFont="1" applyFill="1" applyBorder="1" applyAlignment="1" applyProtection="1">
      <alignment horizontal="left" vertical="top" wrapText="1"/>
    </xf>
    <xf numFmtId="165" fontId="19" fillId="13" borderId="41" xfId="1" applyNumberFormat="1" applyFont="1" applyFill="1" applyBorder="1" applyAlignment="1" applyProtection="1">
      <alignment horizontal="center" wrapText="1"/>
      <protection locked="0"/>
    </xf>
    <xf numFmtId="165" fontId="19" fillId="13" borderId="28" xfId="1" applyNumberFormat="1" applyFont="1" applyFill="1" applyBorder="1" applyAlignment="1" applyProtection="1">
      <alignment horizontal="center" wrapText="1"/>
      <protection locked="0"/>
    </xf>
    <xf numFmtId="165" fontId="19" fillId="13" borderId="42" xfId="1" applyNumberFormat="1" applyFont="1" applyFill="1" applyBorder="1" applyAlignment="1" applyProtection="1">
      <alignment horizontal="center" wrapText="1"/>
      <protection locked="0"/>
    </xf>
    <xf numFmtId="165" fontId="19" fillId="13" borderId="33" xfId="1" applyNumberFormat="1" applyFont="1" applyFill="1" applyBorder="1" applyAlignment="1" applyProtection="1">
      <alignment horizontal="center" wrapText="1"/>
      <protection locked="0"/>
    </xf>
    <xf numFmtId="165" fontId="19" fillId="13" borderId="0" xfId="1" applyNumberFormat="1" applyFont="1" applyFill="1" applyBorder="1" applyAlignment="1" applyProtection="1">
      <alignment horizontal="center" wrapText="1"/>
      <protection locked="0"/>
    </xf>
    <xf numFmtId="165" fontId="19" fillId="13" borderId="35" xfId="1" applyNumberFormat="1" applyFont="1" applyFill="1" applyBorder="1" applyAlignment="1" applyProtection="1">
      <alignment horizontal="center" wrapText="1"/>
      <protection locked="0"/>
    </xf>
    <xf numFmtId="165" fontId="19" fillId="13" borderId="11" xfId="1" applyNumberFormat="1" applyFont="1" applyFill="1" applyBorder="1" applyAlignment="1" applyProtection="1">
      <alignment horizontal="center" vertical="center" wrapText="1"/>
      <protection locked="0"/>
    </xf>
    <xf numFmtId="165" fontId="19" fillId="13" borderId="24" xfId="1" applyNumberFormat="1" applyFont="1" applyFill="1" applyBorder="1" applyAlignment="1" applyProtection="1">
      <alignment horizontal="center" vertical="center" wrapText="1"/>
      <protection locked="0"/>
    </xf>
    <xf numFmtId="165" fontId="19" fillId="13" borderId="9" xfId="1" applyNumberFormat="1" applyFont="1" applyFill="1" applyBorder="1" applyAlignment="1" applyProtection="1">
      <alignment horizontal="center" vertical="center" wrapText="1"/>
      <protection locked="0"/>
    </xf>
    <xf numFmtId="165" fontId="19" fillId="13" borderId="26" xfId="1" applyNumberFormat="1" applyFont="1" applyFill="1" applyBorder="1" applyAlignment="1" applyProtection="1">
      <alignment horizontal="center" vertical="center" wrapText="1"/>
      <protection locked="0"/>
    </xf>
    <xf numFmtId="165" fontId="19" fillId="13" borderId="21" xfId="1" applyNumberFormat="1" applyFont="1" applyFill="1" applyBorder="1" applyAlignment="1" applyProtection="1">
      <alignment horizontal="center" vertical="center" wrapText="1"/>
      <protection locked="0"/>
    </xf>
    <xf numFmtId="165" fontId="19" fillId="13" borderId="19" xfId="1" applyNumberFormat="1" applyFont="1" applyFill="1" applyBorder="1" applyAlignment="1" applyProtection="1">
      <alignment horizontal="center" vertical="center" wrapText="1"/>
      <protection locked="0"/>
    </xf>
    <xf numFmtId="165" fontId="19" fillId="13" borderId="17" xfId="1" applyNumberFormat="1" applyFont="1" applyFill="1" applyBorder="1" applyAlignment="1" applyProtection="1">
      <alignment horizontal="center" vertical="center" wrapText="1"/>
      <protection locked="0"/>
    </xf>
    <xf numFmtId="165" fontId="19" fillId="13" borderId="22" xfId="1" applyNumberFormat="1" applyFont="1" applyFill="1" applyBorder="1" applyAlignment="1" applyProtection="1">
      <alignment horizontal="center" vertical="center" wrapText="1"/>
      <protection locked="0"/>
    </xf>
    <xf numFmtId="165" fontId="19" fillId="13" borderId="4" xfId="1" applyNumberFormat="1" applyFont="1" applyFill="1" applyBorder="1" applyAlignment="1" applyProtection="1">
      <alignment horizontal="center" vertical="center" wrapText="1"/>
      <protection locked="0"/>
    </xf>
    <xf numFmtId="165" fontId="19" fillId="13" borderId="10" xfId="1" applyNumberFormat="1" applyFont="1" applyFill="1" applyBorder="1" applyAlignment="1" applyProtection="1">
      <alignment horizontal="center" wrapText="1"/>
      <protection locked="0"/>
    </xf>
    <xf numFmtId="165" fontId="19" fillId="13" borderId="4" xfId="1" applyNumberFormat="1" applyFont="1" applyFill="1" applyBorder="1" applyAlignment="1" applyProtection="1">
      <alignment horizontal="center" wrapText="1"/>
      <protection locked="0"/>
    </xf>
    <xf numFmtId="0" fontId="19" fillId="13" borderId="16" xfId="0" applyFont="1" applyFill="1" applyBorder="1" applyAlignment="1" applyProtection="1">
      <alignment horizontal="center" vertical="center" wrapText="1"/>
      <protection locked="0"/>
    </xf>
    <xf numFmtId="0" fontId="19" fillId="13" borderId="23" xfId="0" applyFont="1" applyFill="1" applyBorder="1" applyAlignment="1" applyProtection="1">
      <alignment horizontal="center" vertical="center" wrapText="1"/>
      <protection locked="0"/>
    </xf>
    <xf numFmtId="0" fontId="19" fillId="13" borderId="36" xfId="0" applyFont="1" applyFill="1" applyBorder="1" applyAlignment="1" applyProtection="1">
      <alignment horizontal="center" vertical="center" wrapText="1"/>
      <protection locked="0"/>
    </xf>
    <xf numFmtId="0" fontId="19" fillId="13" borderId="11" xfId="0" applyFont="1" applyFill="1" applyBorder="1" applyAlignment="1" applyProtection="1">
      <alignment horizontal="center" vertical="center" wrapText="1"/>
      <protection locked="0"/>
    </xf>
    <xf numFmtId="0" fontId="19" fillId="13" borderId="9" xfId="0" applyFont="1" applyFill="1" applyBorder="1" applyAlignment="1" applyProtection="1">
      <alignment horizontal="center" vertical="center" wrapText="1"/>
      <protection locked="0"/>
    </xf>
    <xf numFmtId="0" fontId="19" fillId="13" borderId="33" xfId="0" applyFont="1" applyFill="1" applyBorder="1" applyAlignment="1" applyProtection="1">
      <alignment horizontal="center" vertical="center" wrapText="1"/>
      <protection locked="0"/>
    </xf>
    <xf numFmtId="0" fontId="19" fillId="13" borderId="35" xfId="0" applyFont="1" applyFill="1" applyBorder="1" applyAlignment="1" applyProtection="1">
      <alignment horizontal="center" vertical="center" wrapText="1"/>
      <protection locked="0"/>
    </xf>
    <xf numFmtId="0" fontId="19" fillId="13" borderId="26" xfId="0" applyFont="1" applyFill="1" applyBorder="1" applyAlignment="1" applyProtection="1">
      <alignment horizontal="center" vertical="center" wrapText="1"/>
      <protection locked="0"/>
    </xf>
    <xf numFmtId="0" fontId="19" fillId="13" borderId="19" xfId="0" applyFont="1" applyFill="1" applyBorder="1" applyAlignment="1" applyProtection="1">
      <alignment horizontal="center" vertical="center" wrapText="1"/>
      <protection locked="0"/>
    </xf>
    <xf numFmtId="0" fontId="19" fillId="13" borderId="11" xfId="0" applyFont="1" applyFill="1" applyBorder="1" applyAlignment="1" applyProtection="1">
      <alignment horizontal="center" wrapText="1"/>
      <protection locked="0"/>
    </xf>
    <xf numFmtId="0" fontId="19" fillId="13" borderId="24" xfId="0" applyFont="1" applyFill="1" applyBorder="1" applyAlignment="1" applyProtection="1">
      <alignment horizontal="center" wrapText="1"/>
      <protection locked="0"/>
    </xf>
    <xf numFmtId="0" fontId="19" fillId="13" borderId="9" xfId="0" applyFont="1" applyFill="1" applyBorder="1" applyAlignment="1" applyProtection="1">
      <alignment horizontal="center" wrapText="1"/>
      <protection locked="0"/>
    </xf>
    <xf numFmtId="0" fontId="19" fillId="13" borderId="26" xfId="0" applyFont="1" applyFill="1" applyBorder="1" applyAlignment="1" applyProtection="1">
      <alignment horizontal="center" wrapText="1"/>
      <protection locked="0"/>
    </xf>
    <xf numFmtId="0" fontId="19" fillId="13" borderId="21" xfId="0" applyFont="1" applyFill="1" applyBorder="1" applyAlignment="1" applyProtection="1">
      <alignment horizontal="center" wrapText="1"/>
      <protection locked="0"/>
    </xf>
    <xf numFmtId="0" fontId="19" fillId="13" borderId="19" xfId="0" applyFont="1" applyFill="1" applyBorder="1" applyAlignment="1" applyProtection="1">
      <alignment horizontal="center" wrapText="1"/>
      <protection locked="0"/>
    </xf>
    <xf numFmtId="0" fontId="19" fillId="13" borderId="22" xfId="0" applyFont="1" applyFill="1" applyBorder="1" applyAlignment="1" applyProtection="1">
      <alignment horizontal="center" vertical="center" wrapText="1"/>
      <protection locked="0"/>
    </xf>
    <xf numFmtId="0" fontId="66" fillId="13" borderId="4" xfId="0" applyFont="1" applyFill="1" applyBorder="1"/>
    <xf numFmtId="0" fontId="18" fillId="4" borderId="15" xfId="0" applyFont="1" applyFill="1" applyBorder="1" applyAlignment="1">
      <alignment horizontal="center" wrapText="1"/>
    </xf>
    <xf numFmtId="0" fontId="19" fillId="13" borderId="39" xfId="0" applyFont="1" applyFill="1" applyBorder="1" applyAlignment="1" applyProtection="1">
      <alignment horizontal="center" vertical="center" wrapText="1"/>
      <protection locked="0"/>
    </xf>
    <xf numFmtId="0" fontId="19" fillId="13" borderId="37" xfId="0" applyFont="1" applyFill="1" applyBorder="1" applyAlignment="1" applyProtection="1">
      <alignment horizontal="center" vertical="center" wrapText="1"/>
      <protection locked="0"/>
    </xf>
    <xf numFmtId="0" fontId="19" fillId="13" borderId="18" xfId="0" applyFont="1" applyFill="1" applyBorder="1" applyAlignment="1" applyProtection="1">
      <alignment horizontal="center" vertical="center" wrapText="1"/>
      <protection locked="0"/>
    </xf>
    <xf numFmtId="0" fontId="41" fillId="13" borderId="40" xfId="0" applyFont="1" applyFill="1" applyBorder="1" applyAlignment="1">
      <alignment horizontal="center" vertical="center" wrapText="1"/>
    </xf>
    <xf numFmtId="0" fontId="41" fillId="13" borderId="37" xfId="0" applyFont="1" applyFill="1" applyBorder="1" applyAlignment="1">
      <alignment horizontal="center" vertical="center" wrapText="1"/>
    </xf>
    <xf numFmtId="0" fontId="41" fillId="13" borderId="18" xfId="0" applyFont="1" applyFill="1" applyBorder="1" applyAlignment="1">
      <alignment horizontal="center" vertical="center" wrapText="1"/>
    </xf>
    <xf numFmtId="0" fontId="16" fillId="0" borderId="1" xfId="0" applyFont="1" applyFill="1" applyBorder="1" applyAlignment="1" applyProtection="1">
      <alignment horizontal="left" vertical="center" wrapText="1"/>
    </xf>
    <xf numFmtId="0" fontId="16" fillId="0" borderId="10" xfId="0" applyFont="1" applyFill="1" applyBorder="1" applyAlignment="1" applyProtection="1">
      <alignment horizontal="center" vertical="center" wrapText="1"/>
    </xf>
    <xf numFmtId="0" fontId="16" fillId="0" borderId="4" xfId="0" applyFont="1" applyFill="1" applyBorder="1" applyAlignment="1" applyProtection="1">
      <alignment horizontal="center" vertical="center" wrapText="1"/>
    </xf>
    <xf numFmtId="0" fontId="16" fillId="0" borderId="10" xfId="0" applyFont="1" applyFill="1" applyBorder="1" applyAlignment="1" applyProtection="1">
      <alignment horizontal="left" vertical="top" wrapText="1"/>
    </xf>
    <xf numFmtId="0" fontId="16" fillId="0" borderId="4" xfId="0" applyFont="1" applyFill="1" applyBorder="1" applyAlignment="1" applyProtection="1">
      <alignment horizontal="left" vertical="top" wrapText="1"/>
    </xf>
    <xf numFmtId="0" fontId="16" fillId="0" borderId="1" xfId="0" applyFont="1" applyFill="1" applyBorder="1" applyAlignment="1" applyProtection="1">
      <alignment horizontal="center" vertical="center" wrapText="1"/>
    </xf>
    <xf numFmtId="0" fontId="19" fillId="4" borderId="1" xfId="0" applyFont="1" applyFill="1" applyBorder="1" applyAlignment="1" applyProtection="1">
      <alignment horizontal="center" vertical="center" wrapText="1"/>
      <protection locked="0"/>
    </xf>
    <xf numFmtId="0" fontId="19" fillId="3" borderId="25" xfId="0" applyFont="1" applyFill="1" applyBorder="1" applyAlignment="1" applyProtection="1">
      <alignment horizontal="left" vertical="top" wrapText="1"/>
      <protection locked="0"/>
    </xf>
    <xf numFmtId="0" fontId="19" fillId="3" borderId="29" xfId="0" applyFont="1" applyFill="1" applyBorder="1" applyAlignment="1" applyProtection="1">
      <alignment horizontal="left" vertical="top" wrapText="1"/>
      <protection locked="0"/>
    </xf>
    <xf numFmtId="0" fontId="19" fillId="3" borderId="3" xfId="0" applyFont="1" applyFill="1" applyBorder="1" applyAlignment="1" applyProtection="1">
      <alignment horizontal="left" vertical="top" wrapText="1"/>
      <protection locked="0"/>
    </xf>
    <xf numFmtId="0" fontId="19" fillId="4" borderId="10" xfId="0" applyFont="1" applyFill="1" applyBorder="1" applyAlignment="1" applyProtection="1">
      <alignment horizontal="center" vertical="center" wrapText="1"/>
      <protection locked="0"/>
    </xf>
    <xf numFmtId="0" fontId="19" fillId="4" borderId="22" xfId="0" applyFont="1" applyFill="1" applyBorder="1" applyAlignment="1" applyProtection="1">
      <alignment horizontal="center" vertical="center" wrapText="1"/>
      <protection locked="0"/>
    </xf>
    <xf numFmtId="0" fontId="16" fillId="0" borderId="22" xfId="0" applyFont="1" applyFill="1" applyBorder="1" applyAlignment="1" applyProtection="1">
      <alignment horizontal="center" vertical="center" wrapText="1"/>
    </xf>
    <xf numFmtId="0" fontId="16" fillId="0" borderId="22" xfId="0" applyFont="1" applyFill="1" applyBorder="1" applyAlignment="1" applyProtection="1">
      <alignment horizontal="left" vertical="top" wrapText="1"/>
    </xf>
    <xf numFmtId="165" fontId="14" fillId="13" borderId="5" xfId="1" applyNumberFormat="1" applyFont="1" applyFill="1" applyBorder="1" applyAlignment="1" applyProtection="1">
      <alignment horizontal="center" vertical="center" wrapText="1"/>
      <protection locked="0"/>
    </xf>
    <xf numFmtId="165" fontId="14" fillId="13" borderId="40" xfId="1" applyNumberFormat="1" applyFont="1" applyFill="1" applyBorder="1" applyAlignment="1" applyProtection="1">
      <alignment horizontal="center" vertical="center" wrapText="1"/>
      <protection locked="0"/>
    </xf>
    <xf numFmtId="165" fontId="14" fillId="13" borderId="13" xfId="1" applyNumberFormat="1" applyFont="1" applyFill="1" applyBorder="1" applyAlignment="1" applyProtection="1">
      <alignment horizontal="center" vertical="center" wrapText="1"/>
      <protection locked="0"/>
    </xf>
    <xf numFmtId="165" fontId="14" fillId="13" borderId="1" xfId="1" applyNumberFormat="1" applyFont="1" applyFill="1" applyBorder="1" applyAlignment="1" applyProtection="1">
      <alignment horizontal="center" vertical="center" wrapText="1"/>
      <protection locked="0"/>
    </xf>
    <xf numFmtId="165" fontId="14" fillId="13" borderId="25" xfId="1" applyNumberFormat="1" applyFont="1" applyFill="1" applyBorder="1" applyAlignment="1" applyProtection="1">
      <alignment horizontal="center" vertical="center" wrapText="1"/>
      <protection locked="0"/>
    </xf>
    <xf numFmtId="165" fontId="14" fillId="13" borderId="12" xfId="1" applyNumberFormat="1" applyFont="1" applyFill="1" applyBorder="1" applyAlignment="1" applyProtection="1">
      <alignment horizontal="center" vertical="center" wrapText="1"/>
      <protection locked="0"/>
    </xf>
    <xf numFmtId="165" fontId="5" fillId="0" borderId="16" xfId="2" applyNumberFormat="1" applyFont="1" applyFill="1" applyBorder="1" applyAlignment="1" applyProtection="1">
      <alignment horizontal="center" vertical="center"/>
      <protection locked="0"/>
    </xf>
    <xf numFmtId="165" fontId="5" fillId="0" borderId="44" xfId="2" applyNumberFormat="1" applyFont="1" applyFill="1" applyBorder="1" applyAlignment="1" applyProtection="1">
      <alignment horizontal="center" vertical="center"/>
      <protection locked="0"/>
    </xf>
    <xf numFmtId="165" fontId="5" fillId="3" borderId="48" xfId="2" applyNumberFormat="1" applyFont="1" applyFill="1" applyBorder="1" applyAlignment="1" applyProtection="1">
      <alignment horizontal="center" vertical="center" wrapText="1"/>
      <protection locked="0"/>
    </xf>
    <xf numFmtId="165" fontId="5" fillId="3" borderId="28" xfId="2" applyNumberFormat="1" applyFont="1" applyFill="1" applyBorder="1" applyAlignment="1" applyProtection="1">
      <alignment horizontal="center" vertical="center" wrapText="1"/>
      <protection locked="0"/>
    </xf>
    <xf numFmtId="165" fontId="5" fillId="3" borderId="49" xfId="2" applyNumberFormat="1" applyFont="1" applyFill="1" applyBorder="1" applyAlignment="1" applyProtection="1">
      <alignment horizontal="center" vertical="center" wrapText="1"/>
      <protection locked="0"/>
    </xf>
    <xf numFmtId="165" fontId="5" fillId="3" borderId="50" xfId="2" applyNumberFormat="1" applyFont="1" applyFill="1" applyBorder="1" applyAlignment="1" applyProtection="1">
      <alignment horizontal="center" vertical="center" wrapText="1"/>
      <protection locked="0"/>
    </xf>
    <xf numFmtId="165" fontId="5" fillId="3" borderId="0" xfId="2" applyNumberFormat="1" applyFont="1" applyFill="1" applyBorder="1" applyAlignment="1" applyProtection="1">
      <alignment horizontal="center" vertical="center" wrapText="1"/>
      <protection locked="0"/>
    </xf>
    <xf numFmtId="165" fontId="5" fillId="3" borderId="51" xfId="2" applyNumberFormat="1" applyFont="1" applyFill="1" applyBorder="1" applyAlignment="1" applyProtection="1">
      <alignment horizontal="center" vertical="center" wrapText="1"/>
      <protection locked="0"/>
    </xf>
    <xf numFmtId="165" fontId="5" fillId="3" borderId="31" xfId="2" applyNumberFormat="1" applyFont="1" applyFill="1" applyBorder="1" applyAlignment="1" applyProtection="1">
      <alignment horizontal="center" vertical="center" wrapText="1"/>
      <protection locked="0"/>
    </xf>
    <xf numFmtId="165" fontId="5" fillId="3" borderId="21" xfId="2" applyNumberFormat="1" applyFont="1" applyFill="1" applyBorder="1" applyAlignment="1" applyProtection="1">
      <alignment horizontal="center" vertical="center" wrapText="1"/>
      <protection locked="0"/>
    </xf>
    <xf numFmtId="165" fontId="5" fillId="3" borderId="32" xfId="2" applyNumberFormat="1" applyFont="1" applyFill="1" applyBorder="1" applyAlignment="1" applyProtection="1">
      <alignment horizontal="center" vertical="center" wrapText="1"/>
      <protection locked="0"/>
    </xf>
    <xf numFmtId="0" fontId="5" fillId="13" borderId="10" xfId="0" applyFont="1" applyFill="1" applyBorder="1" applyAlignment="1" applyProtection="1">
      <alignment horizontal="center" vertical="center" wrapText="1"/>
      <protection locked="0"/>
    </xf>
    <xf numFmtId="0" fontId="5" fillId="13" borderId="22" xfId="0" applyFont="1" applyFill="1" applyBorder="1" applyAlignment="1" applyProtection="1">
      <alignment horizontal="center" vertical="center" wrapText="1"/>
      <protection locked="0"/>
    </xf>
    <xf numFmtId="0" fontId="5" fillId="13" borderId="4" xfId="0" applyFont="1" applyFill="1" applyBorder="1" applyAlignment="1" applyProtection="1">
      <alignment horizontal="center" vertical="center" wrapText="1"/>
      <protection locked="0"/>
    </xf>
    <xf numFmtId="0" fontId="5" fillId="13" borderId="11" xfId="0" applyFont="1" applyFill="1" applyBorder="1" applyAlignment="1" applyProtection="1">
      <alignment horizontal="center" vertical="center" wrapText="1"/>
      <protection locked="0"/>
    </xf>
    <xf numFmtId="0" fontId="5" fillId="13" borderId="9" xfId="0" applyFont="1" applyFill="1" applyBorder="1" applyAlignment="1" applyProtection="1">
      <alignment horizontal="center" vertical="center" wrapText="1"/>
      <protection locked="0"/>
    </xf>
    <xf numFmtId="0" fontId="5" fillId="13" borderId="33" xfId="0" applyFont="1" applyFill="1" applyBorder="1" applyAlignment="1" applyProtection="1">
      <alignment horizontal="center" vertical="center" wrapText="1"/>
      <protection locked="0"/>
    </xf>
    <xf numFmtId="0" fontId="5" fillId="13" borderId="35" xfId="0" applyFont="1" applyFill="1" applyBorder="1" applyAlignment="1" applyProtection="1">
      <alignment horizontal="center" vertical="center" wrapText="1"/>
      <protection locked="0"/>
    </xf>
    <xf numFmtId="0" fontId="5" fillId="13" borderId="26" xfId="0" applyFont="1" applyFill="1" applyBorder="1" applyAlignment="1" applyProtection="1">
      <alignment horizontal="center" vertical="center" wrapText="1"/>
      <protection locked="0"/>
    </xf>
    <xf numFmtId="0" fontId="5" fillId="13" borderId="19" xfId="0" applyFont="1" applyFill="1" applyBorder="1" applyAlignment="1" applyProtection="1">
      <alignment horizontal="center" vertical="center" wrapText="1"/>
      <protection locked="0"/>
    </xf>
    <xf numFmtId="165" fontId="14" fillId="13" borderId="29" xfId="1" applyNumberFormat="1" applyFont="1" applyFill="1" applyBorder="1" applyAlignment="1" applyProtection="1">
      <alignment horizontal="center" vertical="center" wrapText="1"/>
      <protection locked="0"/>
    </xf>
    <xf numFmtId="165" fontId="14" fillId="13" borderId="3" xfId="1" applyNumberFormat="1" applyFont="1" applyFill="1" applyBorder="1" applyAlignment="1" applyProtection="1">
      <alignment horizontal="center" vertical="center" wrapText="1"/>
      <protection locked="0"/>
    </xf>
    <xf numFmtId="0" fontId="14" fillId="13" borderId="11" xfId="0" applyFont="1" applyFill="1" applyBorder="1" applyAlignment="1" applyProtection="1">
      <alignment horizontal="center" vertical="center" wrapText="1"/>
      <protection locked="0"/>
    </xf>
    <xf numFmtId="0" fontId="14" fillId="13" borderId="24" xfId="0" applyFont="1" applyFill="1" applyBorder="1" applyAlignment="1" applyProtection="1">
      <alignment horizontal="center" vertical="center" wrapText="1"/>
      <protection locked="0"/>
    </xf>
    <xf numFmtId="0" fontId="14" fillId="13" borderId="9" xfId="0" applyFont="1" applyFill="1" applyBorder="1" applyAlignment="1" applyProtection="1">
      <alignment horizontal="center" vertical="center" wrapText="1"/>
      <protection locked="0"/>
    </xf>
    <xf numFmtId="0" fontId="14" fillId="13" borderId="26" xfId="0" applyFont="1" applyFill="1" applyBorder="1" applyAlignment="1" applyProtection="1">
      <alignment horizontal="center" vertical="center" wrapText="1"/>
      <protection locked="0"/>
    </xf>
    <xf numFmtId="0" fontId="14" fillId="13" borderId="21" xfId="0" applyFont="1" applyFill="1" applyBorder="1" applyAlignment="1" applyProtection="1">
      <alignment horizontal="center" vertical="center" wrapText="1"/>
      <protection locked="0"/>
    </xf>
    <xf numFmtId="0" fontId="14" fillId="13" borderId="19" xfId="0" applyFont="1" applyFill="1" applyBorder="1" applyAlignment="1" applyProtection="1">
      <alignment horizontal="center" vertical="center" wrapText="1"/>
      <protection locked="0"/>
    </xf>
    <xf numFmtId="165" fontId="5" fillId="5" borderId="17" xfId="2" applyNumberFormat="1" applyFont="1" applyFill="1" applyBorder="1" applyAlignment="1" applyProtection="1">
      <alignment horizontal="center" vertical="center" wrapText="1"/>
      <protection locked="0"/>
    </xf>
    <xf numFmtId="165" fontId="5" fillId="5" borderId="22" xfId="2" applyNumberFormat="1" applyFont="1" applyFill="1" applyBorder="1" applyAlignment="1" applyProtection="1">
      <alignment horizontal="center" vertical="center" wrapText="1"/>
      <protection locked="0"/>
    </xf>
    <xf numFmtId="165" fontId="5" fillId="5" borderId="4" xfId="2" applyNumberFormat="1" applyFont="1" applyFill="1" applyBorder="1" applyAlignment="1" applyProtection="1">
      <alignment horizontal="center" vertical="center" wrapText="1"/>
      <protection locked="0"/>
    </xf>
    <xf numFmtId="165" fontId="14" fillId="13" borderId="10" xfId="1" applyNumberFormat="1" applyFont="1" applyFill="1" applyBorder="1" applyAlignment="1" applyProtection="1">
      <alignment horizontal="center" vertical="center" wrapText="1"/>
      <protection locked="0"/>
    </xf>
    <xf numFmtId="165" fontId="14" fillId="13" borderId="4" xfId="1" applyNumberFormat="1" applyFont="1" applyFill="1" applyBorder="1" applyAlignment="1" applyProtection="1">
      <alignment horizontal="center" vertical="center" wrapText="1"/>
      <protection locked="0"/>
    </xf>
    <xf numFmtId="165" fontId="14" fillId="13" borderId="41" xfId="1" applyNumberFormat="1" applyFont="1" applyFill="1" applyBorder="1" applyAlignment="1" applyProtection="1">
      <alignment horizontal="center" vertical="center" wrapText="1"/>
      <protection locked="0"/>
    </xf>
    <xf numFmtId="165" fontId="14" fillId="13" borderId="28" xfId="1" applyNumberFormat="1" applyFont="1" applyFill="1" applyBorder="1" applyAlignment="1" applyProtection="1">
      <alignment horizontal="center" vertical="center" wrapText="1"/>
      <protection locked="0"/>
    </xf>
    <xf numFmtId="165" fontId="14" fillId="13" borderId="42" xfId="1" applyNumberFormat="1" applyFont="1" applyFill="1" applyBorder="1" applyAlignment="1" applyProtection="1">
      <alignment horizontal="center" vertical="center" wrapText="1"/>
      <protection locked="0"/>
    </xf>
    <xf numFmtId="165" fontId="14" fillId="13" borderId="33" xfId="1" applyNumberFormat="1" applyFont="1" applyFill="1" applyBorder="1" applyAlignment="1" applyProtection="1">
      <alignment horizontal="center" vertical="center" wrapText="1"/>
      <protection locked="0"/>
    </xf>
    <xf numFmtId="165" fontId="14" fillId="13" borderId="0" xfId="1" applyNumberFormat="1" applyFont="1" applyFill="1" applyBorder="1" applyAlignment="1" applyProtection="1">
      <alignment horizontal="center" vertical="center" wrapText="1"/>
      <protection locked="0"/>
    </xf>
    <xf numFmtId="165" fontId="14" fillId="13" borderId="35" xfId="1" applyNumberFormat="1" applyFont="1" applyFill="1" applyBorder="1" applyAlignment="1" applyProtection="1">
      <alignment horizontal="center" vertical="center" wrapText="1"/>
      <protection locked="0"/>
    </xf>
    <xf numFmtId="165" fontId="5" fillId="0" borderId="36" xfId="2" applyNumberFormat="1" applyFont="1" applyFill="1" applyBorder="1" applyAlignment="1" applyProtection="1">
      <alignment horizontal="center" vertical="center"/>
      <protection locked="0"/>
    </xf>
    <xf numFmtId="0" fontId="5" fillId="0" borderId="17" xfId="4" applyFont="1" applyFill="1" applyBorder="1" applyAlignment="1" applyProtection="1">
      <alignment horizontal="center" vertical="center" wrapText="1"/>
    </xf>
    <xf numFmtId="0" fontId="5" fillId="0" borderId="22" xfId="4" applyFont="1" applyFill="1" applyBorder="1" applyAlignment="1" applyProtection="1">
      <alignment horizontal="center" vertical="center" wrapText="1"/>
    </xf>
    <xf numFmtId="0" fontId="3" fillId="0" borderId="1" xfId="0" applyFont="1" applyFill="1" applyBorder="1" applyAlignment="1" applyProtection="1">
      <alignment horizontal="center" vertical="top" wrapText="1"/>
    </xf>
    <xf numFmtId="0" fontId="5" fillId="0" borderId="17" xfId="0" applyFont="1" applyFill="1" applyBorder="1" applyAlignment="1" applyProtection="1">
      <alignment horizontal="center" vertical="center" wrapText="1"/>
    </xf>
    <xf numFmtId="0" fontId="5" fillId="0" borderId="22"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3" fillId="0" borderId="17" xfId="0" applyFont="1" applyFill="1" applyBorder="1" applyAlignment="1" applyProtection="1">
      <alignment horizontal="left" vertical="top" wrapText="1"/>
    </xf>
    <xf numFmtId="0" fontId="3" fillId="0" borderId="22" xfId="0" applyFont="1" applyFill="1" applyBorder="1" applyAlignment="1" applyProtection="1">
      <alignment horizontal="left" vertical="top" wrapText="1"/>
    </xf>
    <xf numFmtId="0" fontId="3" fillId="0" borderId="27" xfId="0" applyFont="1" applyFill="1" applyBorder="1" applyAlignment="1" applyProtection="1">
      <alignment horizontal="left" vertical="top" wrapText="1"/>
    </xf>
    <xf numFmtId="0" fontId="5" fillId="0" borderId="1" xfId="0" applyFont="1" applyFill="1" applyBorder="1" applyAlignment="1" applyProtection="1">
      <alignment horizontal="center" vertical="center" wrapText="1"/>
    </xf>
    <xf numFmtId="165" fontId="14" fillId="13" borderId="11" xfId="1" applyNumberFormat="1" applyFont="1" applyFill="1" applyBorder="1" applyAlignment="1" applyProtection="1">
      <alignment horizontal="center" vertical="center" wrapText="1"/>
      <protection locked="0"/>
    </xf>
    <xf numFmtId="165" fontId="14" fillId="13" borderId="24" xfId="1" applyNumberFormat="1" applyFont="1" applyFill="1" applyBorder="1" applyAlignment="1" applyProtection="1">
      <alignment horizontal="center" vertical="center" wrapText="1"/>
      <protection locked="0"/>
    </xf>
    <xf numFmtId="165" fontId="14" fillId="13" borderId="9" xfId="1" applyNumberFormat="1" applyFont="1" applyFill="1" applyBorder="1" applyAlignment="1" applyProtection="1">
      <alignment horizontal="center" vertical="center" wrapText="1"/>
      <protection locked="0"/>
    </xf>
    <xf numFmtId="165" fontId="14" fillId="13" borderId="26" xfId="1" applyNumberFormat="1" applyFont="1" applyFill="1" applyBorder="1" applyAlignment="1" applyProtection="1">
      <alignment horizontal="center" vertical="center" wrapText="1"/>
      <protection locked="0"/>
    </xf>
    <xf numFmtId="165" fontId="14" fillId="13" borderId="21" xfId="1" applyNumberFormat="1" applyFont="1" applyFill="1" applyBorder="1" applyAlignment="1" applyProtection="1">
      <alignment horizontal="center" vertical="center" wrapText="1"/>
      <protection locked="0"/>
    </xf>
    <xf numFmtId="165" fontId="14" fillId="13" borderId="19" xfId="1" applyNumberFormat="1" applyFont="1" applyFill="1" applyBorder="1" applyAlignment="1" applyProtection="1">
      <alignment horizontal="center" vertical="center" wrapText="1"/>
      <protection locked="0"/>
    </xf>
    <xf numFmtId="0" fontId="5" fillId="13" borderId="16" xfId="0" applyFont="1" applyFill="1" applyBorder="1" applyAlignment="1" applyProtection="1">
      <alignment horizontal="center" vertical="center" wrapText="1"/>
      <protection locked="0"/>
    </xf>
    <xf numFmtId="0" fontId="5" fillId="13" borderId="23" xfId="0" applyFont="1" applyFill="1" applyBorder="1" applyAlignment="1" applyProtection="1">
      <alignment horizontal="center" vertical="center" wrapText="1"/>
      <protection locked="0"/>
    </xf>
    <xf numFmtId="0" fontId="5" fillId="13" borderId="36" xfId="0" applyFont="1" applyFill="1" applyBorder="1" applyAlignment="1" applyProtection="1">
      <alignment horizontal="center" vertical="center" wrapText="1"/>
      <protection locked="0"/>
    </xf>
    <xf numFmtId="0" fontId="5" fillId="4" borderId="15" xfId="0" applyFont="1" applyFill="1" applyBorder="1" applyAlignment="1">
      <alignment horizontal="center" wrapText="1"/>
    </xf>
    <xf numFmtId="0" fontId="5" fillId="13" borderId="39" xfId="0" applyFont="1" applyFill="1" applyBorder="1" applyAlignment="1" applyProtection="1">
      <alignment horizontal="center" vertical="center" wrapText="1"/>
      <protection locked="0"/>
    </xf>
    <xf numFmtId="0" fontId="5" fillId="13" borderId="37" xfId="0" applyFont="1" applyFill="1" applyBorder="1" applyAlignment="1" applyProtection="1">
      <alignment horizontal="center" vertical="center" wrapText="1"/>
      <protection locked="0"/>
    </xf>
    <xf numFmtId="0" fontId="5" fillId="13" borderId="18" xfId="0" applyFont="1" applyFill="1" applyBorder="1" applyAlignment="1" applyProtection="1">
      <alignment horizontal="center" vertical="center" wrapText="1"/>
      <protection locked="0"/>
    </xf>
    <xf numFmtId="0" fontId="36" fillId="13" borderId="40" xfId="0" applyFont="1" applyFill="1" applyBorder="1" applyAlignment="1">
      <alignment horizontal="center" vertical="center" wrapText="1"/>
    </xf>
    <xf numFmtId="0" fontId="36" fillId="13" borderId="37" xfId="0" applyFont="1" applyFill="1" applyBorder="1" applyAlignment="1">
      <alignment horizontal="center" vertical="center" wrapText="1"/>
    </xf>
    <xf numFmtId="0" fontId="36" fillId="13" borderId="18" xfId="0" applyFont="1" applyFill="1" applyBorder="1" applyAlignment="1">
      <alignment horizontal="center" vertical="center" wrapText="1"/>
    </xf>
    <xf numFmtId="0" fontId="36" fillId="13" borderId="40" xfId="0" applyFont="1" applyFill="1" applyBorder="1" applyAlignment="1">
      <alignment horizontal="center" wrapText="1"/>
    </xf>
    <xf numFmtId="0" fontId="36" fillId="13" borderId="37" xfId="0" applyFont="1" applyFill="1" applyBorder="1" applyAlignment="1">
      <alignment horizontal="center" wrapText="1"/>
    </xf>
    <xf numFmtId="0" fontId="36" fillId="13" borderId="18" xfId="0" applyFont="1" applyFill="1" applyBorder="1" applyAlignment="1">
      <alignment horizontal="center" wrapText="1"/>
    </xf>
    <xf numFmtId="0" fontId="3" fillId="0" borderId="43" xfId="0" applyFont="1" applyFill="1" applyBorder="1" applyAlignment="1" applyProtection="1">
      <alignment horizontal="center" vertical="center" wrapText="1"/>
    </xf>
    <xf numFmtId="0" fontId="3" fillId="0" borderId="23" xfId="0" applyFont="1" applyFill="1" applyBorder="1" applyAlignment="1" applyProtection="1">
      <alignment horizontal="center" vertical="center" wrapText="1"/>
    </xf>
    <xf numFmtId="0" fontId="3" fillId="0" borderId="44" xfId="0" applyFont="1" applyFill="1" applyBorder="1" applyAlignment="1" applyProtection="1">
      <alignment horizontal="center" vertical="center" wrapText="1"/>
    </xf>
    <xf numFmtId="0" fontId="3" fillId="0" borderId="17" xfId="0" applyFont="1" applyFill="1" applyBorder="1" applyAlignment="1" applyProtection="1">
      <alignment horizontal="left" vertical="center" wrapText="1"/>
    </xf>
    <xf numFmtId="0" fontId="3" fillId="0" borderId="27" xfId="0" applyFont="1" applyFill="1" applyBorder="1" applyAlignment="1" applyProtection="1">
      <alignment horizontal="left" vertical="center" wrapText="1"/>
    </xf>
    <xf numFmtId="0" fontId="5" fillId="0" borderId="27" xfId="4" applyFont="1" applyFill="1" applyBorder="1" applyAlignment="1" applyProtection="1">
      <alignment horizontal="center" vertical="center" wrapText="1"/>
    </xf>
    <xf numFmtId="165" fontId="37" fillId="5" borderId="45" xfId="2" applyNumberFormat="1" applyFont="1" applyFill="1" applyBorder="1" applyAlignment="1" applyProtection="1">
      <alignment horizontal="center" vertical="center"/>
      <protection locked="0"/>
    </xf>
    <xf numFmtId="165" fontId="37" fillId="5" borderId="46" xfId="2" applyNumberFormat="1" applyFont="1" applyFill="1" applyBorder="1" applyAlignment="1" applyProtection="1">
      <alignment horizontal="center" vertical="center"/>
      <protection locked="0"/>
    </xf>
    <xf numFmtId="165" fontId="37" fillId="5" borderId="47" xfId="2" applyNumberFormat="1" applyFont="1" applyFill="1" applyBorder="1" applyAlignment="1" applyProtection="1">
      <alignment horizontal="center" vertical="center"/>
      <protection locked="0"/>
    </xf>
    <xf numFmtId="165" fontId="5" fillId="0" borderId="23" xfId="2" applyNumberFormat="1" applyFont="1" applyFill="1" applyBorder="1" applyAlignment="1" applyProtection="1">
      <alignment horizontal="center" vertical="center"/>
      <protection locked="0"/>
    </xf>
    <xf numFmtId="165" fontId="5" fillId="0" borderId="17" xfId="2" applyNumberFormat="1" applyFont="1" applyFill="1" applyBorder="1" applyAlignment="1" applyProtection="1">
      <alignment horizontal="center" vertical="center"/>
      <protection locked="0"/>
    </xf>
    <xf numFmtId="165" fontId="5" fillId="0" borderId="22" xfId="2" applyNumberFormat="1" applyFont="1" applyFill="1" applyBorder="1" applyAlignment="1" applyProtection="1">
      <alignment horizontal="center" vertical="center"/>
      <protection locked="0"/>
    </xf>
    <xf numFmtId="165" fontId="5" fillId="0" borderId="27" xfId="2" applyNumberFormat="1" applyFont="1" applyFill="1" applyBorder="1" applyAlignment="1" applyProtection="1">
      <alignment horizontal="center" vertical="center"/>
      <protection locked="0"/>
    </xf>
    <xf numFmtId="165" fontId="5" fillId="5" borderId="45" xfId="2" applyNumberFormat="1" applyFont="1" applyFill="1" applyBorder="1" applyAlignment="1" applyProtection="1">
      <alignment horizontal="center" vertical="center"/>
      <protection locked="0"/>
    </xf>
    <xf numFmtId="165" fontId="5" fillId="5" borderId="46" xfId="2" applyNumberFormat="1" applyFont="1" applyFill="1" applyBorder="1" applyAlignment="1" applyProtection="1">
      <alignment horizontal="center" vertical="center"/>
      <protection locked="0"/>
    </xf>
    <xf numFmtId="165" fontId="5" fillId="5" borderId="47" xfId="2" applyNumberFormat="1" applyFont="1" applyFill="1" applyBorder="1" applyAlignment="1" applyProtection="1">
      <alignment horizontal="center" vertical="center"/>
      <protection locked="0"/>
    </xf>
    <xf numFmtId="0" fontId="3" fillId="0" borderId="36" xfId="0" applyFont="1" applyFill="1" applyBorder="1" applyAlignment="1" applyProtection="1">
      <alignment horizontal="center" vertical="center" wrapText="1"/>
    </xf>
    <xf numFmtId="0" fontId="3" fillId="0" borderId="17"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17" xfId="0" applyFont="1" applyFill="1" applyBorder="1" applyAlignment="1" applyProtection="1">
      <alignment horizontal="center" vertical="top" wrapText="1"/>
    </xf>
    <xf numFmtId="0" fontId="3" fillId="0" borderId="22" xfId="0" applyFont="1" applyFill="1" applyBorder="1" applyAlignment="1" applyProtection="1">
      <alignment horizontal="center" vertical="top" wrapText="1"/>
    </xf>
    <xf numFmtId="0" fontId="3" fillId="0" borderId="4" xfId="0" applyFont="1" applyFill="1" applyBorder="1" applyAlignment="1" applyProtection="1">
      <alignment horizontal="center" vertical="top" wrapText="1"/>
    </xf>
    <xf numFmtId="0" fontId="5" fillId="0" borderId="1" xfId="4" applyFont="1" applyFill="1" applyBorder="1" applyAlignment="1" applyProtection="1">
      <alignment horizontal="center" vertical="center" wrapText="1"/>
    </xf>
    <xf numFmtId="0" fontId="5" fillId="0" borderId="2" xfId="4" applyFont="1" applyFill="1" applyBorder="1" applyAlignment="1" applyProtection="1">
      <alignment horizontal="center" vertical="center" wrapText="1"/>
    </xf>
    <xf numFmtId="0" fontId="3" fillId="0" borderId="42" xfId="0" applyFont="1" applyFill="1" applyBorder="1" applyAlignment="1" applyProtection="1">
      <alignment horizontal="center" vertical="top" wrapText="1"/>
    </xf>
    <xf numFmtId="0" fontId="3" fillId="0" borderId="35" xfId="0" applyFont="1" applyFill="1" applyBorder="1" applyAlignment="1" applyProtection="1">
      <alignment horizontal="center" vertical="top" wrapText="1"/>
    </xf>
    <xf numFmtId="0" fontId="3" fillId="0" borderId="1" xfId="0" applyFont="1" applyFill="1" applyBorder="1" applyAlignment="1" applyProtection="1">
      <alignment horizontal="center" vertical="center" wrapText="1"/>
    </xf>
    <xf numFmtId="0" fontId="3" fillId="0" borderId="22" xfId="0" applyFont="1" applyFill="1" applyBorder="1" applyAlignment="1" applyProtection="1">
      <alignment horizontal="left" vertical="center" wrapText="1"/>
    </xf>
    <xf numFmtId="0" fontId="3" fillId="0" borderId="1" xfId="0" applyFont="1" applyFill="1" applyBorder="1" applyAlignment="1" applyProtection="1">
      <alignment horizontal="left" vertical="top" wrapText="1"/>
    </xf>
    <xf numFmtId="0" fontId="3" fillId="0" borderId="10" xfId="0" applyFont="1" applyFill="1" applyBorder="1" applyAlignment="1" applyProtection="1">
      <alignment horizontal="left" vertical="top" wrapText="1"/>
    </xf>
    <xf numFmtId="0" fontId="3" fillId="0" borderId="4" xfId="0" applyFont="1" applyFill="1" applyBorder="1" applyAlignment="1" applyProtection="1">
      <alignment horizontal="left" vertical="top" wrapText="1"/>
    </xf>
    <xf numFmtId="0" fontId="3" fillId="0" borderId="2" xfId="0" applyFont="1" applyFill="1" applyBorder="1" applyAlignment="1" applyProtection="1">
      <alignment horizontal="center" vertical="center" wrapText="1"/>
    </xf>
    <xf numFmtId="165" fontId="5" fillId="0" borderId="43" xfId="2" applyNumberFormat="1" applyFont="1" applyFill="1" applyBorder="1" applyAlignment="1" applyProtection="1">
      <alignment horizontal="center" vertical="center"/>
      <protection locked="0"/>
    </xf>
    <xf numFmtId="0" fontId="5" fillId="3" borderId="25" xfId="0" applyFont="1" applyFill="1" applyBorder="1" applyAlignment="1" applyProtection="1">
      <alignment horizontal="left" vertical="center" wrapText="1"/>
      <protection locked="0"/>
    </xf>
    <xf numFmtId="0" fontId="5" fillId="3" borderId="29" xfId="0" applyFont="1" applyFill="1" applyBorder="1" applyAlignment="1" applyProtection="1">
      <alignment horizontal="left" vertical="center" wrapText="1"/>
      <protection locked="0"/>
    </xf>
    <xf numFmtId="0" fontId="5" fillId="3" borderId="3" xfId="0" applyFont="1" applyFill="1" applyBorder="1" applyAlignment="1" applyProtection="1">
      <alignment horizontal="left" vertical="center" wrapText="1"/>
      <protection locked="0"/>
    </xf>
    <xf numFmtId="0" fontId="67" fillId="0" borderId="1" xfId="0" applyFont="1" applyFill="1" applyBorder="1" applyAlignment="1" applyProtection="1">
      <alignment horizontal="center" vertical="center" wrapText="1"/>
    </xf>
    <xf numFmtId="0" fontId="3" fillId="0" borderId="1" xfId="0" applyFont="1" applyBorder="1" applyAlignment="1">
      <alignment horizontal="left" vertical="center" wrapText="1"/>
    </xf>
    <xf numFmtId="165" fontId="5" fillId="13" borderId="1" xfId="2" applyNumberFormat="1" applyFont="1" applyFill="1" applyBorder="1" applyAlignment="1" applyProtection="1">
      <alignment horizontal="center" vertical="center" wrapText="1"/>
      <protection locked="0"/>
    </xf>
    <xf numFmtId="165" fontId="5" fillId="13" borderId="25" xfId="2" applyNumberFormat="1" applyFont="1" applyFill="1" applyBorder="1" applyAlignment="1" applyProtection="1">
      <alignment horizontal="center" vertical="center" wrapText="1"/>
      <protection locked="0"/>
    </xf>
    <xf numFmtId="165" fontId="5" fillId="13" borderId="29" xfId="2" applyNumberFormat="1" applyFont="1" applyFill="1" applyBorder="1" applyAlignment="1" applyProtection="1">
      <alignment horizontal="center" vertical="center" wrapText="1"/>
      <protection locked="0"/>
    </xf>
    <xf numFmtId="165" fontId="5" fillId="13" borderId="3" xfId="2" applyNumberFormat="1" applyFont="1" applyFill="1" applyBorder="1" applyAlignment="1" applyProtection="1">
      <alignment horizontal="center" vertical="center" wrapText="1"/>
      <protection locked="0"/>
    </xf>
    <xf numFmtId="165" fontId="5" fillId="13" borderId="11" xfId="2" applyNumberFormat="1" applyFont="1" applyFill="1" applyBorder="1" applyAlignment="1" applyProtection="1">
      <alignment horizontal="center" vertical="center" wrapText="1"/>
      <protection locked="0"/>
    </xf>
    <xf numFmtId="165" fontId="5" fillId="13" borderId="24" xfId="2" applyNumberFormat="1" applyFont="1" applyFill="1" applyBorder="1" applyAlignment="1" applyProtection="1">
      <alignment horizontal="center" vertical="center" wrapText="1"/>
      <protection locked="0"/>
    </xf>
    <xf numFmtId="165" fontId="5" fillId="13" borderId="9" xfId="2" applyNumberFormat="1" applyFont="1" applyFill="1" applyBorder="1" applyAlignment="1" applyProtection="1">
      <alignment horizontal="center" vertical="center" wrapText="1"/>
      <protection locked="0"/>
    </xf>
    <xf numFmtId="165" fontId="5" fillId="13" borderId="26" xfId="2" applyNumberFormat="1" applyFont="1" applyFill="1" applyBorder="1" applyAlignment="1" applyProtection="1">
      <alignment horizontal="center" vertical="center" wrapText="1"/>
      <protection locked="0"/>
    </xf>
    <xf numFmtId="165" fontId="5" fillId="13" borderId="21" xfId="2" applyNumberFormat="1" applyFont="1" applyFill="1" applyBorder="1" applyAlignment="1" applyProtection="1">
      <alignment horizontal="center" vertical="center" wrapText="1"/>
      <protection locked="0"/>
    </xf>
    <xf numFmtId="165" fontId="5" fillId="13" borderId="19" xfId="2" applyNumberFormat="1" applyFont="1" applyFill="1" applyBorder="1" applyAlignment="1" applyProtection="1">
      <alignment horizontal="center" vertical="center" wrapText="1"/>
      <protection locked="0"/>
    </xf>
    <xf numFmtId="165" fontId="5" fillId="13" borderId="33" xfId="2" applyNumberFormat="1" applyFont="1" applyFill="1" applyBorder="1" applyAlignment="1" applyProtection="1">
      <alignment horizontal="center" vertical="center" wrapText="1"/>
      <protection locked="0"/>
    </xf>
    <xf numFmtId="165" fontId="5" fillId="13" borderId="0" xfId="2" applyNumberFormat="1" applyFont="1" applyFill="1" applyBorder="1" applyAlignment="1" applyProtection="1">
      <alignment horizontal="center" vertical="center" wrapText="1"/>
      <protection locked="0"/>
    </xf>
    <xf numFmtId="165" fontId="5" fillId="13" borderId="35" xfId="2" applyNumberFormat="1" applyFont="1" applyFill="1" applyBorder="1" applyAlignment="1" applyProtection="1">
      <alignment horizontal="center" vertical="center" wrapText="1"/>
      <protection locked="0"/>
    </xf>
    <xf numFmtId="0" fontId="5" fillId="4" borderId="0" xfId="0" applyFont="1" applyFill="1" applyBorder="1" applyAlignment="1">
      <alignment horizontal="center" vertical="center" wrapText="1"/>
    </xf>
    <xf numFmtId="0" fontId="36" fillId="13" borderId="1" xfId="0" applyFont="1" applyFill="1" applyBorder="1" applyAlignment="1">
      <alignment horizontal="center" vertical="center" wrapText="1"/>
    </xf>
    <xf numFmtId="0" fontId="5" fillId="13" borderId="1" xfId="0" applyFont="1" applyFill="1" applyBorder="1" applyAlignment="1" applyProtection="1">
      <alignment horizontal="center" vertical="center" wrapText="1"/>
      <protection locked="0"/>
    </xf>
    <xf numFmtId="0" fontId="53" fillId="13" borderId="1" xfId="0" applyFont="1" applyFill="1" applyBorder="1" applyAlignment="1">
      <alignment vertical="center"/>
    </xf>
    <xf numFmtId="0" fontId="14" fillId="13" borderId="11" xfId="0" applyFont="1" applyFill="1" applyBorder="1" applyAlignment="1" applyProtection="1">
      <alignment horizontal="center" wrapText="1"/>
      <protection locked="0"/>
    </xf>
    <xf numFmtId="0" fontId="14" fillId="13" borderId="24" xfId="0" applyFont="1" applyFill="1" applyBorder="1" applyAlignment="1" applyProtection="1">
      <alignment horizontal="center" wrapText="1"/>
      <protection locked="0"/>
    </xf>
    <xf numFmtId="0" fontId="14" fillId="13" borderId="9" xfId="0" applyFont="1" applyFill="1" applyBorder="1" applyAlignment="1" applyProtection="1">
      <alignment horizontal="center" wrapText="1"/>
      <protection locked="0"/>
    </xf>
    <xf numFmtId="0" fontId="14" fillId="13" borderId="26" xfId="0" applyFont="1" applyFill="1" applyBorder="1" applyAlignment="1" applyProtection="1">
      <alignment horizontal="center" wrapText="1"/>
      <protection locked="0"/>
    </xf>
    <xf numFmtId="0" fontId="14" fillId="13" borderId="21" xfId="0" applyFont="1" applyFill="1" applyBorder="1" applyAlignment="1" applyProtection="1">
      <alignment horizontal="center" wrapText="1"/>
      <protection locked="0"/>
    </xf>
    <xf numFmtId="0" fontId="14" fillId="13" borderId="19" xfId="0" applyFont="1" applyFill="1" applyBorder="1" applyAlignment="1" applyProtection="1">
      <alignment horizontal="center" wrapText="1"/>
      <protection locked="0"/>
    </xf>
    <xf numFmtId="0" fontId="5" fillId="13" borderId="24" xfId="0" applyFont="1" applyFill="1" applyBorder="1" applyAlignment="1" applyProtection="1">
      <alignment horizontal="center" vertical="center" wrapText="1"/>
      <protection locked="0"/>
    </xf>
    <xf numFmtId="0" fontId="5" fillId="13" borderId="21" xfId="0" applyFont="1" applyFill="1" applyBorder="1" applyAlignment="1" applyProtection="1">
      <alignment horizontal="center" vertical="center" wrapText="1"/>
      <protection locked="0"/>
    </xf>
    <xf numFmtId="0" fontId="5" fillId="19" borderId="11" xfId="0" applyFont="1" applyFill="1" applyBorder="1" applyAlignment="1" applyProtection="1">
      <alignment horizontal="center" vertical="center" wrapText="1"/>
      <protection locked="0"/>
    </xf>
    <xf numFmtId="0" fontId="5" fillId="19" borderId="9" xfId="0" applyFont="1" applyFill="1" applyBorder="1" applyAlignment="1" applyProtection="1">
      <alignment horizontal="center" vertical="center" wrapText="1"/>
      <protection locked="0"/>
    </xf>
    <xf numFmtId="0" fontId="5" fillId="19" borderId="33" xfId="0" applyFont="1" applyFill="1" applyBorder="1" applyAlignment="1" applyProtection="1">
      <alignment horizontal="center" vertical="center" wrapText="1"/>
      <protection locked="0"/>
    </xf>
    <xf numFmtId="0" fontId="5" fillId="19" borderId="35" xfId="0" applyFont="1" applyFill="1" applyBorder="1" applyAlignment="1" applyProtection="1">
      <alignment horizontal="center" vertical="center" wrapText="1"/>
      <protection locked="0"/>
    </xf>
    <xf numFmtId="0" fontId="5" fillId="19" borderId="26" xfId="0" applyFont="1" applyFill="1" applyBorder="1" applyAlignment="1" applyProtection="1">
      <alignment horizontal="center" vertical="center" wrapText="1"/>
      <protection locked="0"/>
    </xf>
    <xf numFmtId="0" fontId="5" fillId="19" borderId="19"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left" vertical="center" wrapText="1"/>
    </xf>
    <xf numFmtId="0" fontId="3" fillId="0" borderId="4" xfId="0" applyFont="1" applyFill="1" applyBorder="1" applyAlignment="1" applyProtection="1">
      <alignment horizontal="left" vertical="center" wrapText="1"/>
    </xf>
    <xf numFmtId="0" fontId="3" fillId="0" borderId="1" xfId="0" applyFont="1" applyFill="1" applyBorder="1" applyAlignment="1" applyProtection="1">
      <alignment horizontal="left" vertical="center" wrapText="1"/>
    </xf>
    <xf numFmtId="0" fontId="5" fillId="4" borderId="1" xfId="0" applyFont="1" applyFill="1" applyBorder="1" applyAlignment="1" applyProtection="1">
      <alignment horizontal="center" vertical="center" wrapText="1"/>
      <protection locked="0"/>
    </xf>
    <xf numFmtId="0" fontId="5" fillId="16" borderId="1" xfId="0" applyFont="1" applyFill="1" applyBorder="1" applyAlignment="1" applyProtection="1">
      <alignment horizontal="center" vertical="center" wrapText="1"/>
    </xf>
    <xf numFmtId="0" fontId="12" fillId="0" borderId="1" xfId="0" applyFont="1" applyFill="1" applyBorder="1" applyAlignment="1" applyProtection="1">
      <alignment horizontal="left" vertical="top" wrapText="1"/>
    </xf>
    <xf numFmtId="0" fontId="13" fillId="0" borderId="1" xfId="4" applyFont="1" applyFill="1" applyBorder="1" applyAlignment="1" applyProtection="1">
      <alignment horizontal="center" vertical="center" wrapText="1"/>
    </xf>
    <xf numFmtId="0" fontId="5" fillId="0" borderId="1" xfId="0" applyFont="1" applyFill="1" applyBorder="1" applyAlignment="1" applyProtection="1">
      <alignment horizontal="center" vertical="center"/>
      <protection locked="0"/>
    </xf>
    <xf numFmtId="0" fontId="13" fillId="0" borderId="22" xfId="4" applyFont="1" applyFill="1" applyBorder="1" applyAlignment="1" applyProtection="1">
      <alignment horizontal="center" vertical="center" wrapText="1"/>
    </xf>
    <xf numFmtId="0" fontId="13" fillId="0" borderId="27" xfId="4" applyFont="1" applyFill="1" applyBorder="1" applyAlignment="1" applyProtection="1">
      <alignment horizontal="center" vertical="center" wrapText="1"/>
    </xf>
    <xf numFmtId="0" fontId="12" fillId="0" borderId="22" xfId="0" applyFont="1" applyFill="1" applyBorder="1" applyAlignment="1" applyProtection="1">
      <alignment horizontal="left" vertical="top" wrapText="1"/>
    </xf>
    <xf numFmtId="0" fontId="12" fillId="0" borderId="27" xfId="0" applyFont="1" applyFill="1" applyBorder="1" applyAlignment="1" applyProtection="1">
      <alignment horizontal="left" vertical="top" wrapText="1"/>
    </xf>
    <xf numFmtId="0" fontId="13" fillId="0" borderId="17" xfId="4" applyFont="1" applyFill="1" applyBorder="1" applyAlignment="1" applyProtection="1">
      <alignment horizontal="center" vertical="center" wrapText="1"/>
    </xf>
    <xf numFmtId="0" fontId="4" fillId="3" borderId="0" xfId="0" applyFont="1" applyFill="1" applyBorder="1" applyAlignment="1" applyProtection="1">
      <alignment horizontal="left" vertical="center" wrapText="1"/>
      <protection locked="0"/>
    </xf>
    <xf numFmtId="0" fontId="4" fillId="3" borderId="35" xfId="0" applyFont="1" applyFill="1" applyBorder="1" applyAlignment="1" applyProtection="1">
      <alignment horizontal="left" vertical="center" wrapText="1"/>
      <protection locked="0"/>
    </xf>
    <xf numFmtId="0" fontId="12" fillId="0" borderId="17" xfId="0" applyFont="1" applyFill="1" applyBorder="1" applyAlignment="1" applyProtection="1">
      <alignment horizontal="left" vertical="top" wrapText="1"/>
    </xf>
    <xf numFmtId="0" fontId="4" fillId="3" borderId="24" xfId="0" applyFont="1" applyFill="1" applyBorder="1" applyAlignment="1" applyProtection="1">
      <alignment horizontal="left" vertical="center" wrapText="1"/>
      <protection locked="0"/>
    </xf>
    <xf numFmtId="0" fontId="4" fillId="3" borderId="52" xfId="0" applyFont="1" applyFill="1" applyBorder="1" applyAlignment="1" applyProtection="1">
      <alignment horizontal="left" vertical="center" wrapText="1"/>
      <protection locked="0"/>
    </xf>
    <xf numFmtId="166" fontId="13" fillId="0" borderId="22" xfId="2" applyNumberFormat="1" applyFont="1" applyFill="1" applyBorder="1" applyAlignment="1" applyProtection="1">
      <alignment vertical="center" wrapText="1"/>
    </xf>
    <xf numFmtId="166" fontId="13" fillId="0" borderId="27" xfId="2" applyNumberFormat="1" applyFont="1" applyFill="1" applyBorder="1" applyAlignment="1" applyProtection="1">
      <alignment vertical="center" wrapText="1"/>
    </xf>
    <xf numFmtId="0" fontId="11" fillId="4" borderId="15" xfId="0" applyFont="1" applyFill="1" applyBorder="1" applyAlignment="1">
      <alignment horizontal="center" wrapText="1"/>
    </xf>
    <xf numFmtId="0" fontId="4" fillId="13" borderId="39" xfId="0" applyFont="1" applyFill="1" applyBorder="1" applyAlignment="1" applyProtection="1">
      <alignment horizontal="center" vertical="center" wrapText="1"/>
      <protection locked="0"/>
    </xf>
    <xf numFmtId="0" fontId="4" fillId="13" borderId="37" xfId="0" applyFont="1" applyFill="1" applyBorder="1" applyAlignment="1" applyProtection="1">
      <alignment horizontal="center" vertical="center" wrapText="1"/>
      <protection locked="0"/>
    </xf>
    <xf numFmtId="0" fontId="4" fillId="13" borderId="18" xfId="0" applyFont="1" applyFill="1" applyBorder="1" applyAlignment="1" applyProtection="1">
      <alignment horizontal="center" vertical="center" wrapText="1"/>
      <protection locked="0"/>
    </xf>
    <xf numFmtId="0" fontId="4" fillId="13" borderId="16" xfId="0" applyFont="1" applyFill="1" applyBorder="1" applyAlignment="1" applyProtection="1">
      <alignment horizontal="center" vertical="center" wrapText="1"/>
      <protection locked="0"/>
    </xf>
    <xf numFmtId="0" fontId="4" fillId="13" borderId="23" xfId="0" applyFont="1" applyFill="1" applyBorder="1" applyAlignment="1" applyProtection="1">
      <alignment horizontal="center" vertical="center" wrapText="1"/>
      <protection locked="0"/>
    </xf>
    <xf numFmtId="0" fontId="4" fillId="13" borderId="36" xfId="0" applyFont="1" applyFill="1" applyBorder="1" applyAlignment="1" applyProtection="1">
      <alignment horizontal="center" vertical="center" wrapText="1"/>
      <protection locked="0"/>
    </xf>
    <xf numFmtId="165" fontId="4" fillId="3" borderId="48" xfId="2" applyNumberFormat="1" applyFont="1" applyFill="1" applyBorder="1" applyAlignment="1" applyProtection="1">
      <alignment horizontal="center" wrapText="1"/>
      <protection locked="0"/>
    </xf>
    <xf numFmtId="165" fontId="4" fillId="3" borderId="28" xfId="2" applyNumberFormat="1" applyFont="1" applyFill="1" applyBorder="1" applyAlignment="1" applyProtection="1">
      <alignment horizontal="center" wrapText="1"/>
      <protection locked="0"/>
    </xf>
    <xf numFmtId="165" fontId="4" fillId="3" borderId="49" xfId="2" applyNumberFormat="1" applyFont="1" applyFill="1" applyBorder="1" applyAlignment="1" applyProtection="1">
      <alignment horizontal="center" wrapText="1"/>
      <protection locked="0"/>
    </xf>
    <xf numFmtId="165" fontId="4" fillId="3" borderId="50" xfId="2" applyNumberFormat="1" applyFont="1" applyFill="1" applyBorder="1" applyAlignment="1" applyProtection="1">
      <alignment horizontal="center" wrapText="1"/>
      <protection locked="0"/>
    </xf>
    <xf numFmtId="165" fontId="4" fillId="3" borderId="0" xfId="2" applyNumberFormat="1" applyFont="1" applyFill="1" applyBorder="1" applyAlignment="1" applyProtection="1">
      <alignment horizontal="center" wrapText="1"/>
      <protection locked="0"/>
    </xf>
    <xf numFmtId="165" fontId="4" fillId="3" borderId="51" xfId="2" applyNumberFormat="1" applyFont="1" applyFill="1" applyBorder="1" applyAlignment="1" applyProtection="1">
      <alignment horizontal="center" wrapText="1"/>
      <protection locked="0"/>
    </xf>
    <xf numFmtId="165" fontId="4" fillId="3" borderId="31" xfId="2" applyNumberFormat="1" applyFont="1" applyFill="1" applyBorder="1" applyAlignment="1" applyProtection="1">
      <alignment horizontal="center" wrapText="1"/>
      <protection locked="0"/>
    </xf>
    <xf numFmtId="165" fontId="4" fillId="3" borderId="21" xfId="2" applyNumberFormat="1" applyFont="1" applyFill="1" applyBorder="1" applyAlignment="1" applyProtection="1">
      <alignment horizontal="center" wrapText="1"/>
      <protection locked="0"/>
    </xf>
    <xf numFmtId="165" fontId="4" fillId="3" borderId="32" xfId="2" applyNumberFormat="1" applyFont="1" applyFill="1" applyBorder="1" applyAlignment="1" applyProtection="1">
      <alignment horizontal="center" wrapText="1"/>
      <protection locked="0"/>
    </xf>
    <xf numFmtId="0" fontId="4" fillId="13" borderId="11" xfId="0" applyFont="1" applyFill="1" applyBorder="1" applyAlignment="1" applyProtection="1">
      <alignment horizontal="center" vertical="center" wrapText="1"/>
      <protection locked="0"/>
    </xf>
    <xf numFmtId="0" fontId="4" fillId="13" borderId="9" xfId="0" applyFont="1" applyFill="1" applyBorder="1" applyAlignment="1" applyProtection="1">
      <alignment horizontal="center" vertical="center" wrapText="1"/>
      <protection locked="0"/>
    </xf>
    <xf numFmtId="0" fontId="4" fillId="13" borderId="33" xfId="0" applyFont="1" applyFill="1" applyBorder="1" applyAlignment="1" applyProtection="1">
      <alignment horizontal="center" vertical="center" wrapText="1"/>
      <protection locked="0"/>
    </xf>
    <xf numFmtId="0" fontId="4" fillId="13" borderId="35" xfId="0" applyFont="1" applyFill="1" applyBorder="1" applyAlignment="1" applyProtection="1">
      <alignment horizontal="center" vertical="center" wrapText="1"/>
      <protection locked="0"/>
    </xf>
    <xf numFmtId="0" fontId="4" fillId="13" borderId="26" xfId="0" applyFont="1" applyFill="1" applyBorder="1" applyAlignment="1" applyProtection="1">
      <alignment horizontal="center" vertical="center" wrapText="1"/>
      <protection locked="0"/>
    </xf>
    <xf numFmtId="0" fontId="4" fillId="13" borderId="19" xfId="0" applyFont="1" applyFill="1" applyBorder="1" applyAlignment="1" applyProtection="1">
      <alignment horizontal="center" vertical="center" wrapText="1"/>
      <protection locked="0"/>
    </xf>
    <xf numFmtId="165" fontId="5" fillId="13" borderId="25" xfId="2" applyNumberFormat="1" applyFont="1" applyFill="1" applyBorder="1" applyAlignment="1" applyProtection="1">
      <alignment horizontal="center" wrapText="1"/>
      <protection locked="0"/>
    </xf>
    <xf numFmtId="165" fontId="5" fillId="13" borderId="29" xfId="2" applyNumberFormat="1" applyFont="1" applyFill="1" applyBorder="1" applyAlignment="1" applyProtection="1">
      <alignment horizontal="center" wrapText="1"/>
      <protection locked="0"/>
    </xf>
    <xf numFmtId="165" fontId="5" fillId="13" borderId="3" xfId="2" applyNumberFormat="1" applyFont="1" applyFill="1" applyBorder="1" applyAlignment="1" applyProtection="1">
      <alignment horizontal="center" wrapText="1"/>
      <protection locked="0"/>
    </xf>
    <xf numFmtId="0" fontId="19" fillId="3" borderId="39" xfId="0" applyFont="1" applyFill="1" applyBorder="1" applyAlignment="1" applyProtection="1">
      <alignment horizontal="center" vertical="center" wrapText="1"/>
      <protection locked="0"/>
    </xf>
    <xf numFmtId="0" fontId="19" fillId="3" borderId="37" xfId="0" applyFont="1" applyFill="1" applyBorder="1" applyAlignment="1" applyProtection="1">
      <alignment horizontal="center" vertical="center" wrapText="1"/>
      <protection locked="0"/>
    </xf>
    <xf numFmtId="0" fontId="19" fillId="3" borderId="18" xfId="0" applyFont="1" applyFill="1" applyBorder="1" applyAlignment="1" applyProtection="1">
      <alignment horizontal="center" vertical="center" wrapText="1"/>
      <protection locked="0"/>
    </xf>
    <xf numFmtId="0" fontId="41" fillId="3" borderId="40" xfId="0" applyFont="1" applyFill="1" applyBorder="1" applyAlignment="1">
      <alignment horizontal="center" vertical="center" wrapText="1"/>
    </xf>
    <xf numFmtId="0" fontId="41" fillId="3" borderId="37" xfId="0" applyFont="1" applyFill="1" applyBorder="1" applyAlignment="1">
      <alignment horizontal="center" vertical="center" wrapText="1"/>
    </xf>
    <xf numFmtId="0" fontId="41" fillId="3" borderId="18" xfId="0" applyFont="1" applyFill="1" applyBorder="1" applyAlignment="1">
      <alignment horizontal="center" vertical="center" wrapText="1"/>
    </xf>
    <xf numFmtId="0" fontId="19" fillId="3" borderId="11" xfId="0" applyFont="1" applyFill="1" applyBorder="1" applyAlignment="1" applyProtection="1">
      <alignment horizontal="center" wrapText="1"/>
      <protection locked="0"/>
    </xf>
    <xf numFmtId="0" fontId="19" fillId="3" borderId="24" xfId="0" applyFont="1" applyFill="1" applyBorder="1" applyAlignment="1" applyProtection="1">
      <alignment horizontal="center" wrapText="1"/>
      <protection locked="0"/>
    </xf>
    <xf numFmtId="0" fontId="19" fillId="3" borderId="9" xfId="0" applyFont="1" applyFill="1" applyBorder="1" applyAlignment="1" applyProtection="1">
      <alignment horizontal="center" wrapText="1"/>
      <protection locked="0"/>
    </xf>
    <xf numFmtId="0" fontId="19" fillId="3" borderId="26" xfId="0" applyFont="1" applyFill="1" applyBorder="1" applyAlignment="1" applyProtection="1">
      <alignment horizontal="center" wrapText="1"/>
      <protection locked="0"/>
    </xf>
    <xf numFmtId="0" fontId="19" fillId="3" borderId="21" xfId="0" applyFont="1" applyFill="1" applyBorder="1" applyAlignment="1" applyProtection="1">
      <alignment horizontal="center" wrapText="1"/>
      <protection locked="0"/>
    </xf>
    <xf numFmtId="0" fontId="19" fillId="3" borderId="19" xfId="0" applyFont="1" applyFill="1" applyBorder="1" applyAlignment="1" applyProtection="1">
      <alignment horizontal="center" wrapText="1"/>
      <protection locked="0"/>
    </xf>
    <xf numFmtId="165" fontId="19" fillId="3" borderId="25" xfId="1" applyNumberFormat="1" applyFont="1" applyFill="1" applyBorder="1" applyAlignment="1" applyProtection="1">
      <alignment horizontal="center" wrapText="1"/>
      <protection locked="0"/>
    </xf>
    <xf numFmtId="165" fontId="19" fillId="3" borderId="29" xfId="1" applyNumberFormat="1" applyFont="1" applyFill="1" applyBorder="1" applyAlignment="1" applyProtection="1">
      <alignment horizontal="center" wrapText="1"/>
      <protection locked="0"/>
    </xf>
    <xf numFmtId="165" fontId="19" fillId="3" borderId="3" xfId="1" applyNumberFormat="1" applyFont="1" applyFill="1" applyBorder="1" applyAlignment="1" applyProtection="1">
      <alignment horizontal="center" wrapText="1"/>
      <protection locked="0"/>
    </xf>
    <xf numFmtId="165" fontId="19" fillId="3" borderId="25" xfId="1" applyNumberFormat="1" applyFont="1" applyFill="1" applyBorder="1" applyAlignment="1" applyProtection="1">
      <alignment horizontal="center" vertical="center" wrapText="1"/>
      <protection locked="0"/>
    </xf>
    <xf numFmtId="165" fontId="19" fillId="3" borderId="29" xfId="1" applyNumberFormat="1" applyFont="1" applyFill="1" applyBorder="1" applyAlignment="1" applyProtection="1">
      <alignment horizontal="center" vertical="center" wrapText="1"/>
      <protection locked="0"/>
    </xf>
    <xf numFmtId="165" fontId="19" fillId="3" borderId="3" xfId="1"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9" fillId="3" borderId="25" xfId="0" applyFont="1" applyFill="1" applyBorder="1" applyAlignment="1" applyProtection="1">
      <alignment horizontal="center" vertical="top" wrapText="1"/>
      <protection locked="0"/>
    </xf>
    <xf numFmtId="0" fontId="19" fillId="3" borderId="29" xfId="0" applyFont="1" applyFill="1" applyBorder="1" applyAlignment="1" applyProtection="1">
      <alignment horizontal="center" vertical="top" wrapText="1"/>
      <protection locked="0"/>
    </xf>
    <xf numFmtId="0" fontId="19" fillId="3" borderId="3" xfId="0" applyFont="1" applyFill="1" applyBorder="1" applyAlignment="1" applyProtection="1">
      <alignment horizontal="center" vertical="top" wrapText="1"/>
      <protection locked="0"/>
    </xf>
    <xf numFmtId="0" fontId="19" fillId="4" borderId="4" xfId="0" applyFont="1" applyFill="1" applyBorder="1" applyAlignment="1" applyProtection="1">
      <alignment horizontal="center" vertical="center" wrapText="1"/>
      <protection locked="0"/>
    </xf>
    <xf numFmtId="0" fontId="19" fillId="3" borderId="29" xfId="0" applyFont="1" applyFill="1" applyBorder="1" applyAlignment="1" applyProtection="1">
      <alignment horizontal="left" vertical="center" wrapText="1"/>
    </xf>
    <xf numFmtId="0" fontId="19" fillId="3" borderId="3" xfId="0" applyFont="1" applyFill="1" applyBorder="1" applyAlignment="1" applyProtection="1">
      <alignment horizontal="left" vertical="center" wrapText="1"/>
    </xf>
    <xf numFmtId="165" fontId="19" fillId="13" borderId="49" xfId="1" applyNumberFormat="1" applyFont="1" applyFill="1" applyBorder="1" applyAlignment="1" applyProtection="1">
      <alignment horizontal="center" wrapText="1"/>
      <protection locked="0"/>
    </xf>
    <xf numFmtId="165" fontId="19" fillId="13" borderId="51" xfId="1" applyNumberFormat="1" applyFont="1" applyFill="1" applyBorder="1" applyAlignment="1" applyProtection="1">
      <alignment horizontal="center" wrapText="1"/>
      <protection locked="0"/>
    </xf>
    <xf numFmtId="165" fontId="19" fillId="13" borderId="26" xfId="1" applyNumberFormat="1" applyFont="1" applyFill="1" applyBorder="1" applyAlignment="1" applyProtection="1">
      <alignment horizontal="center" wrapText="1"/>
      <protection locked="0"/>
    </xf>
    <xf numFmtId="165" fontId="19" fillId="13" borderId="21" xfId="1" applyNumberFormat="1" applyFont="1" applyFill="1" applyBorder="1" applyAlignment="1" applyProtection="1">
      <alignment horizontal="center" wrapText="1"/>
      <protection locked="0"/>
    </xf>
    <xf numFmtId="165" fontId="19" fillId="13" borderId="32" xfId="1" applyNumberFormat="1" applyFont="1" applyFill="1" applyBorder="1" applyAlignment="1" applyProtection="1">
      <alignment horizontal="center" wrapText="1"/>
      <protection locked="0"/>
    </xf>
    <xf numFmtId="0" fontId="19" fillId="4" borderId="9" xfId="0" applyFont="1" applyFill="1" applyBorder="1" applyAlignment="1" applyProtection="1">
      <alignment horizontal="center" vertical="center" wrapText="1"/>
      <protection locked="0"/>
    </xf>
    <xf numFmtId="0" fontId="19" fillId="4" borderId="19" xfId="0" applyFont="1" applyFill="1" applyBorder="1" applyAlignment="1" applyProtection="1">
      <alignment horizontal="center" vertical="center" wrapText="1"/>
      <protection locked="0"/>
    </xf>
    <xf numFmtId="0" fontId="19" fillId="4" borderId="11" xfId="0" applyFont="1" applyFill="1" applyBorder="1" applyAlignment="1" applyProtection="1">
      <alignment horizontal="center" vertical="center" wrapText="1"/>
      <protection locked="0"/>
    </xf>
    <xf numFmtId="0" fontId="19" fillId="4" borderId="33" xfId="0" applyFont="1" applyFill="1" applyBorder="1" applyAlignment="1" applyProtection="1">
      <alignment horizontal="center" vertical="center" wrapText="1"/>
      <protection locked="0"/>
    </xf>
    <xf numFmtId="0" fontId="19" fillId="4" borderId="10" xfId="0" applyFont="1" applyFill="1" applyBorder="1" applyAlignment="1" applyProtection="1">
      <alignment horizontal="left" vertical="center" wrapText="1"/>
      <protection locked="0"/>
    </xf>
    <xf numFmtId="0" fontId="19" fillId="4" borderId="22" xfId="0" applyFont="1" applyFill="1" applyBorder="1" applyAlignment="1" applyProtection="1">
      <alignment horizontal="left" vertical="center" wrapText="1"/>
      <protection locked="0"/>
    </xf>
    <xf numFmtId="0" fontId="21" fillId="3" borderId="25" xfId="0" applyFont="1" applyFill="1" applyBorder="1" applyAlignment="1" applyProtection="1">
      <alignment horizontal="center" vertical="center" wrapText="1"/>
      <protection locked="0"/>
    </xf>
    <xf numFmtId="0" fontId="21" fillId="3" borderId="29" xfId="0" applyFont="1" applyFill="1" applyBorder="1" applyAlignment="1" applyProtection="1">
      <alignment horizontal="center" vertical="center" wrapText="1"/>
      <protection locked="0"/>
    </xf>
    <xf numFmtId="0" fontId="21" fillId="3" borderId="3" xfId="0" applyFont="1" applyFill="1" applyBorder="1" applyAlignment="1" applyProtection="1">
      <alignment horizontal="center" vertical="center" wrapText="1"/>
      <protection locked="0"/>
    </xf>
    <xf numFmtId="0" fontId="19" fillId="4" borderId="35" xfId="0" applyFont="1" applyFill="1" applyBorder="1" applyAlignment="1" applyProtection="1">
      <alignment horizontal="center" vertical="center" wrapText="1"/>
      <protection locked="0"/>
    </xf>
    <xf numFmtId="0" fontId="14" fillId="3" borderId="25" xfId="0" applyFont="1" applyFill="1" applyBorder="1" applyAlignment="1" applyProtection="1">
      <alignment horizontal="left" vertical="center" wrapText="1"/>
      <protection locked="0"/>
    </xf>
    <xf numFmtId="0" fontId="14" fillId="3" borderId="29" xfId="0" applyFont="1" applyFill="1" applyBorder="1" applyAlignment="1" applyProtection="1">
      <alignment horizontal="left" vertical="center" wrapText="1"/>
      <protection locked="0"/>
    </xf>
    <xf numFmtId="0" fontId="14" fillId="3" borderId="3" xfId="0" applyFont="1" applyFill="1" applyBorder="1" applyAlignment="1" applyProtection="1">
      <alignment horizontal="left" vertical="center" wrapText="1"/>
      <protection locked="0"/>
    </xf>
    <xf numFmtId="0" fontId="16" fillId="4" borderId="10" xfId="0" applyFont="1" applyFill="1" applyBorder="1" applyAlignment="1" applyProtection="1">
      <alignment horizontal="left" vertical="center" wrapText="1"/>
      <protection locked="0"/>
    </xf>
    <xf numFmtId="0" fontId="16" fillId="4" borderId="4" xfId="0" applyFont="1" applyFill="1" applyBorder="1" applyAlignment="1" applyProtection="1">
      <alignment horizontal="left" vertical="center" wrapText="1"/>
      <protection locked="0"/>
    </xf>
  </cellXfs>
  <cellStyles count="7">
    <cellStyle name="Comma" xfId="1" builtinId="3"/>
    <cellStyle name="Comma 2" xfId="2"/>
    <cellStyle name="Hyperlink" xfId="3" builtinId="8"/>
    <cellStyle name="Normal" xfId="0" builtinId="0"/>
    <cellStyle name="Normal 4" xfId="4"/>
    <cellStyle name="Normal 4 2" xfId="5"/>
    <cellStyle name="Percent" xfId="6"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248162700076438"/>
          <c:y val="0.11141315434977091"/>
          <c:w val="0.42556484719700377"/>
          <c:h val="0.76902250441427411"/>
        </c:manualLayout>
      </c:layout>
      <c:pieChart>
        <c:varyColors val="1"/>
        <c:ser>
          <c:idx val="0"/>
          <c:order val="0"/>
          <c:explosion val="25"/>
          <c:dPt>
            <c:idx val="0"/>
            <c:bubble3D val="0"/>
            <c:extLst>
              <c:ext xmlns:c16="http://schemas.microsoft.com/office/drawing/2014/chart" uri="{C3380CC4-5D6E-409C-BE32-E72D297353CC}">
                <c16:uniqueId val="{00000000-F9C5-5442-9D2B-BEA1E9CF5A80}"/>
              </c:ext>
            </c:extLst>
          </c:dPt>
          <c:dPt>
            <c:idx val="1"/>
            <c:bubble3D val="0"/>
            <c:extLst>
              <c:ext xmlns:c16="http://schemas.microsoft.com/office/drawing/2014/chart" uri="{C3380CC4-5D6E-409C-BE32-E72D297353CC}">
                <c16:uniqueId val="{00000001-F9C5-5442-9D2B-BEA1E9CF5A80}"/>
              </c:ext>
            </c:extLst>
          </c:dPt>
          <c:dPt>
            <c:idx val="2"/>
            <c:bubble3D val="0"/>
            <c:extLst>
              <c:ext xmlns:c16="http://schemas.microsoft.com/office/drawing/2014/chart" uri="{C3380CC4-5D6E-409C-BE32-E72D297353CC}">
                <c16:uniqueId val="{00000002-F9C5-5442-9D2B-BEA1E9CF5A80}"/>
              </c:ext>
            </c:extLst>
          </c:dPt>
          <c:dPt>
            <c:idx val="3"/>
            <c:bubble3D val="0"/>
            <c:extLst>
              <c:ext xmlns:c16="http://schemas.microsoft.com/office/drawing/2014/chart" uri="{C3380CC4-5D6E-409C-BE32-E72D297353CC}">
                <c16:uniqueId val="{00000003-F9C5-5442-9D2B-BEA1E9CF5A80}"/>
              </c:ext>
            </c:extLst>
          </c:dPt>
          <c:dPt>
            <c:idx val="4"/>
            <c:bubble3D val="0"/>
            <c:extLst>
              <c:ext xmlns:c16="http://schemas.microsoft.com/office/drawing/2014/chart" uri="{C3380CC4-5D6E-409C-BE32-E72D297353CC}">
                <c16:uniqueId val="{00000004-F9C5-5442-9D2B-BEA1E9CF5A80}"/>
              </c:ext>
            </c:extLst>
          </c:dPt>
          <c:dPt>
            <c:idx val="5"/>
            <c:bubble3D val="0"/>
            <c:extLst>
              <c:ext xmlns:c16="http://schemas.microsoft.com/office/drawing/2014/chart" uri="{C3380CC4-5D6E-409C-BE32-E72D297353CC}">
                <c16:uniqueId val="{00000005-F9C5-5442-9D2B-BEA1E9CF5A80}"/>
              </c:ext>
            </c:extLst>
          </c:dPt>
          <c:dPt>
            <c:idx val="6"/>
            <c:bubble3D val="0"/>
            <c:extLst>
              <c:ext xmlns:c16="http://schemas.microsoft.com/office/drawing/2014/chart" uri="{C3380CC4-5D6E-409C-BE32-E72D297353CC}">
                <c16:uniqueId val="{00000006-F9C5-5442-9D2B-BEA1E9CF5A80}"/>
              </c:ext>
            </c:extLst>
          </c:dPt>
          <c:dPt>
            <c:idx val="7"/>
            <c:bubble3D val="0"/>
            <c:extLst>
              <c:ext xmlns:c16="http://schemas.microsoft.com/office/drawing/2014/chart" uri="{C3380CC4-5D6E-409C-BE32-E72D297353CC}">
                <c16:uniqueId val="{00000007-F9C5-5442-9D2B-BEA1E9CF5A80}"/>
              </c:ext>
            </c:extLst>
          </c:dPt>
          <c:dPt>
            <c:idx val="8"/>
            <c:bubble3D val="0"/>
            <c:extLst>
              <c:ext xmlns:c16="http://schemas.microsoft.com/office/drawing/2014/chart" uri="{C3380CC4-5D6E-409C-BE32-E72D297353CC}">
                <c16:uniqueId val="{00000008-F9C5-5442-9D2B-BEA1E9CF5A80}"/>
              </c:ext>
            </c:extLst>
          </c:dPt>
          <c:dPt>
            <c:idx val="9"/>
            <c:bubble3D val="0"/>
            <c:extLst>
              <c:ext xmlns:c16="http://schemas.microsoft.com/office/drawing/2014/chart" uri="{C3380CC4-5D6E-409C-BE32-E72D297353CC}">
                <c16:uniqueId val="{00000009-F9C5-5442-9D2B-BEA1E9CF5A80}"/>
              </c:ext>
            </c:extLst>
          </c:dPt>
          <c:dPt>
            <c:idx val="10"/>
            <c:bubble3D val="0"/>
            <c:extLst>
              <c:ext xmlns:c16="http://schemas.microsoft.com/office/drawing/2014/chart" uri="{C3380CC4-5D6E-409C-BE32-E72D297353CC}">
                <c16:uniqueId val="{0000000A-F9C5-5442-9D2B-BEA1E9CF5A80}"/>
              </c:ext>
            </c:extLst>
          </c:dPt>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outEnd"/>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Résumé!$B$7:$B$17</c:f>
              <c:strCache>
                <c:ptCount val="11"/>
                <c:pt idx="0">
                  <c:v>Objectif 1 </c:v>
                </c:pt>
                <c:pt idx="1">
                  <c:v>Objectif 2</c:v>
                </c:pt>
                <c:pt idx="2">
                  <c:v>Objectif 3</c:v>
                </c:pt>
                <c:pt idx="3">
                  <c:v>Objectif 4</c:v>
                </c:pt>
                <c:pt idx="4">
                  <c:v>Objectif 5</c:v>
                </c:pt>
                <c:pt idx="5">
                  <c:v>Objectif 6</c:v>
                </c:pt>
                <c:pt idx="6">
                  <c:v>Objectif 7</c:v>
                </c:pt>
                <c:pt idx="7">
                  <c:v>Objectif 8</c:v>
                </c:pt>
                <c:pt idx="8">
                  <c:v>Objectif 9</c:v>
                </c:pt>
                <c:pt idx="9">
                  <c:v>Objectif 10</c:v>
                </c:pt>
                <c:pt idx="10">
                  <c:v>Objectif 11</c:v>
                </c:pt>
              </c:strCache>
            </c:strRef>
          </c:cat>
          <c:val>
            <c:numRef>
              <c:f>Résumé!$C$7:$C$17</c:f>
              <c:numCache>
                <c:formatCode>_(* #,##0.00_);_(* \(#,##0.00\);_(* "-"??_);_(@_)</c:formatCode>
                <c:ptCount val="11"/>
                <c:pt idx="0">
                  <c:v>9204025</c:v>
                </c:pt>
                <c:pt idx="1">
                  <c:v>789330</c:v>
                </c:pt>
                <c:pt idx="2">
                  <c:v>931375.4</c:v>
                </c:pt>
                <c:pt idx="3">
                  <c:v>3186525</c:v>
                </c:pt>
                <c:pt idx="4">
                  <c:v>33143170</c:v>
                </c:pt>
                <c:pt idx="5">
                  <c:v>3601931</c:v>
                </c:pt>
                <c:pt idx="6">
                  <c:v>810000</c:v>
                </c:pt>
                <c:pt idx="7">
                  <c:v>10970077</c:v>
                </c:pt>
                <c:pt idx="8">
                  <c:v>13708081</c:v>
                </c:pt>
                <c:pt idx="9">
                  <c:v>2700000</c:v>
                </c:pt>
                <c:pt idx="10">
                  <c:v>600000</c:v>
                </c:pt>
              </c:numCache>
            </c:numRef>
          </c:val>
          <c:extLst>
            <c:ext xmlns:c16="http://schemas.microsoft.com/office/drawing/2014/chart" uri="{C3380CC4-5D6E-409C-BE32-E72D297353CC}">
              <c16:uniqueId val="{0000000B-F9C5-5442-9D2B-BEA1E9CF5A80}"/>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81266694783229432"/>
          <c:y val="4.5250312193735633E-2"/>
          <c:w val="0.14221671587065152"/>
          <c:h val="0.89595618143596556"/>
        </c:manualLayout>
      </c:layout>
      <c:overlay val="0"/>
      <c:txPr>
        <a:bodyPr/>
        <a:lstStyle/>
        <a:p>
          <a:pPr>
            <a:defRPr sz="710" b="0" i="0" u="none" strike="noStrike" baseline="0">
              <a:solidFill>
                <a:srgbClr val="000000"/>
              </a:solidFill>
              <a:latin typeface="Calibri"/>
              <a:ea typeface="Calibri"/>
              <a:cs typeface="Calibri"/>
            </a:defRPr>
          </a:pPr>
          <a:endParaRPr lang="en-US"/>
        </a:p>
      </c:txPr>
    </c:legend>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44" l="0.70000000000000062" r="0.70000000000000062" t="0.75000000000000144"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58826887408564"/>
          <c:y val="0.12418370009151369"/>
          <c:w val="0.33529483993316339"/>
          <c:h val="0.74510220054908183"/>
        </c:manualLayout>
      </c:layout>
      <c:pieChart>
        <c:varyColors val="1"/>
        <c:ser>
          <c:idx val="0"/>
          <c:order val="0"/>
          <c:explosion val="25"/>
          <c:dPt>
            <c:idx val="0"/>
            <c:bubble3D val="0"/>
            <c:extLst>
              <c:ext xmlns:c16="http://schemas.microsoft.com/office/drawing/2014/chart" uri="{C3380CC4-5D6E-409C-BE32-E72D297353CC}">
                <c16:uniqueId val="{00000000-52EE-E540-9494-254F6EFD3D7E}"/>
              </c:ext>
            </c:extLst>
          </c:dPt>
          <c:dPt>
            <c:idx val="1"/>
            <c:bubble3D val="0"/>
            <c:extLst>
              <c:ext xmlns:c16="http://schemas.microsoft.com/office/drawing/2014/chart" uri="{C3380CC4-5D6E-409C-BE32-E72D297353CC}">
                <c16:uniqueId val="{00000001-52EE-E540-9494-254F6EFD3D7E}"/>
              </c:ext>
            </c:extLst>
          </c:dPt>
          <c:dPt>
            <c:idx val="2"/>
            <c:bubble3D val="0"/>
            <c:extLst>
              <c:ext xmlns:c16="http://schemas.microsoft.com/office/drawing/2014/chart" uri="{C3380CC4-5D6E-409C-BE32-E72D297353CC}">
                <c16:uniqueId val="{00000002-52EE-E540-9494-254F6EFD3D7E}"/>
              </c:ext>
            </c:extLst>
          </c:dPt>
          <c:dPt>
            <c:idx val="3"/>
            <c:bubble3D val="0"/>
            <c:extLst>
              <c:ext xmlns:c16="http://schemas.microsoft.com/office/drawing/2014/chart" uri="{C3380CC4-5D6E-409C-BE32-E72D297353CC}">
                <c16:uniqueId val="{00000003-52EE-E540-9494-254F6EFD3D7E}"/>
              </c:ext>
            </c:extLst>
          </c:dPt>
          <c:dPt>
            <c:idx val="4"/>
            <c:bubble3D val="0"/>
            <c:extLst>
              <c:ext xmlns:c16="http://schemas.microsoft.com/office/drawing/2014/chart" uri="{C3380CC4-5D6E-409C-BE32-E72D297353CC}">
                <c16:uniqueId val="{00000004-52EE-E540-9494-254F6EFD3D7E}"/>
              </c:ext>
            </c:extLst>
          </c:dPt>
          <c:dPt>
            <c:idx val="5"/>
            <c:bubble3D val="0"/>
            <c:extLst>
              <c:ext xmlns:c16="http://schemas.microsoft.com/office/drawing/2014/chart" uri="{C3380CC4-5D6E-409C-BE32-E72D297353CC}">
                <c16:uniqueId val="{00000005-52EE-E540-9494-254F6EFD3D7E}"/>
              </c:ext>
            </c:extLst>
          </c:dPt>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outEnd"/>
            <c:showLegendKey val="0"/>
            <c:showVal val="0"/>
            <c:showCatName val="0"/>
            <c:showSerName val="0"/>
            <c:showPercent val="1"/>
            <c:showBubbleSize val="0"/>
            <c:showLeaderLines val="0"/>
            <c:extLst>
              <c:ext xmlns:c15="http://schemas.microsoft.com/office/drawing/2012/chart" uri="{CE6537A1-D6FC-4f65-9D91-7224C49458BB}">
                <c15:layout/>
              </c:ext>
            </c:extLst>
          </c:dLbls>
          <c:cat>
            <c:strRef>
              <c:f>Résumé!$B$24:$B$29</c:f>
              <c:strCache>
                <c:ptCount val="6"/>
                <c:pt idx="0">
                  <c:v>Fonction publique et ressources humaines </c:v>
                </c:pt>
                <c:pt idx="1">
                  <c:v>École albanaise d'administration publique</c:v>
                </c:pt>
                <c:pt idx="2">
                  <c:v>Élaboration des politiques, législation et suivi</c:v>
                </c:pt>
                <c:pt idx="3">
                  <c:v>Innovation </c:v>
                </c:pt>
                <c:pt idx="4">
                  <c:v>Administration locale</c:v>
                </c:pt>
                <c:pt idx="5">
                  <c:v>Transparence et  A/C </c:v>
                </c:pt>
              </c:strCache>
            </c:strRef>
          </c:cat>
          <c:val>
            <c:numRef>
              <c:f>Résumé!$C$24:$C$29</c:f>
              <c:numCache>
                <c:formatCode>_(* #,##0.00_);_(* \(#,##0.00\);_(* "-"??_);_(@_)</c:formatCode>
                <c:ptCount val="6"/>
                <c:pt idx="0">
                  <c:v>5819425</c:v>
                </c:pt>
                <c:pt idx="1">
                  <c:v>989131</c:v>
                </c:pt>
                <c:pt idx="2">
                  <c:v>10852580.4</c:v>
                </c:pt>
                <c:pt idx="3">
                  <c:v>50483328</c:v>
                </c:pt>
                <c:pt idx="4">
                  <c:v>8127900</c:v>
                </c:pt>
                <c:pt idx="5">
                  <c:v>3372150</c:v>
                </c:pt>
              </c:numCache>
            </c:numRef>
          </c:val>
          <c:extLst>
            <c:ext xmlns:c16="http://schemas.microsoft.com/office/drawing/2014/chart" uri="{C3380CC4-5D6E-409C-BE32-E72D297353CC}">
              <c16:uniqueId val="{00000006-52EE-E540-9494-254F6EFD3D7E}"/>
            </c:ext>
          </c:extLst>
        </c:ser>
        <c:dLbls>
          <c:showLegendKey val="0"/>
          <c:showVal val="0"/>
          <c:showCatName val="0"/>
          <c:showSerName val="0"/>
          <c:showPercent val="0"/>
          <c:showBubbleSize val="0"/>
          <c:showLeaderLines val="0"/>
        </c:dLbls>
        <c:firstSliceAng val="0"/>
      </c:pieChart>
      <c:spPr>
        <a:noFill/>
        <a:ln w="25400">
          <a:noFill/>
        </a:ln>
      </c:spPr>
    </c:plotArea>
    <c:legend>
      <c:legendPos val="r"/>
      <c:layout>
        <c:manualLayout>
          <c:xMode val="edge"/>
          <c:yMode val="edge"/>
          <c:x val="0.64902739117760455"/>
          <c:y val="2.9070667503087119E-2"/>
          <c:w val="0.28919247702131362"/>
          <c:h val="0.94188962710002255"/>
        </c:manualLayout>
      </c:layout>
      <c:overlay val="0"/>
      <c:txPr>
        <a:bodyPr/>
        <a:lstStyle/>
        <a:p>
          <a:pPr>
            <a:defRPr sz="710" b="0" i="0" u="none" strike="noStrike" baseline="0">
              <a:solidFill>
                <a:srgbClr val="000000"/>
              </a:solidFill>
              <a:latin typeface="Calibri"/>
              <a:ea typeface="Calibri"/>
              <a:cs typeface="Calibri"/>
            </a:defRPr>
          </a:pPr>
          <a:endParaRPr lang="en-US"/>
        </a:p>
      </c:txPr>
    </c:legend>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44" l="0.70000000000000062" r="0.70000000000000062" t="0.75000000000000144"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5.3832438783020423E-2"/>
          <c:y val="3.1106394557338407E-2"/>
          <c:w val="0.74934349871269867"/>
          <c:h val="0.77903593779433755"/>
        </c:manualLayout>
      </c:layout>
      <c:bar3DChart>
        <c:barDir val="col"/>
        <c:grouping val="percentStacked"/>
        <c:varyColors val="0"/>
        <c:ser>
          <c:idx val="0"/>
          <c:order val="0"/>
          <c:tx>
            <c:strRef>
              <c:f>Résumé!$C$35</c:f>
              <c:strCache>
                <c:ptCount val="1"/>
                <c:pt idx="0">
                  <c:v>Fonds de rémunération pour le personnel supplémentaire  </c:v>
                </c:pt>
              </c:strCache>
            </c:strRef>
          </c:tx>
          <c:invertIfNegative val="0"/>
          <c:dLbls>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Résumé!$B$44:$B$49</c:f>
              <c:strCache>
                <c:ptCount val="6"/>
                <c:pt idx="0">
                  <c:v>Fonction publique et ressources humaines </c:v>
                </c:pt>
                <c:pt idx="1">
                  <c:v>École albanaise d'administration publique</c:v>
                </c:pt>
                <c:pt idx="2">
                  <c:v>Élaboration des politiques, législation et suivi</c:v>
                </c:pt>
                <c:pt idx="3">
                  <c:v>Innovation </c:v>
                </c:pt>
                <c:pt idx="4">
                  <c:v>Administration locale</c:v>
                </c:pt>
                <c:pt idx="5">
                  <c:v>Transparence et A/C </c:v>
                </c:pt>
              </c:strCache>
            </c:strRef>
          </c:cat>
          <c:val>
            <c:numRef>
              <c:f>Résumé!$C$44:$C$49</c:f>
              <c:numCache>
                <c:formatCode>0%</c:formatCode>
                <c:ptCount val="6"/>
                <c:pt idx="0">
                  <c:v>0</c:v>
                </c:pt>
                <c:pt idx="1">
                  <c:v>7.2791167196256112E-2</c:v>
                </c:pt>
                <c:pt idx="2">
                  <c:v>2.3883720778516415E-2</c:v>
                </c:pt>
                <c:pt idx="3">
                  <c:v>6.8056527493591548E-2</c:v>
                </c:pt>
                <c:pt idx="4">
                  <c:v>0</c:v>
                </c:pt>
                <c:pt idx="5">
                  <c:v>0</c:v>
                </c:pt>
              </c:numCache>
            </c:numRef>
          </c:val>
          <c:extLst>
            <c:ext xmlns:c16="http://schemas.microsoft.com/office/drawing/2014/chart" uri="{C3380CC4-5D6E-409C-BE32-E72D297353CC}">
              <c16:uniqueId val="{00000000-9AA1-5A49-A95B-1870E943200B}"/>
            </c:ext>
          </c:extLst>
        </c:ser>
        <c:ser>
          <c:idx val="1"/>
          <c:order val="1"/>
          <c:tx>
            <c:strRef>
              <c:f>Résumé!$D$35</c:f>
              <c:strCache>
                <c:ptCount val="1"/>
                <c:pt idx="0">
                  <c:v>Dépenses pour les conférences/séminaires et la formation   </c:v>
                </c:pt>
              </c:strCache>
            </c:strRef>
          </c:tx>
          <c:invertIfNegative val="0"/>
          <c:dLbls>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Résumé!$B$44:$B$49</c:f>
              <c:strCache>
                <c:ptCount val="6"/>
                <c:pt idx="0">
                  <c:v>Fonction publique et ressources humaines </c:v>
                </c:pt>
                <c:pt idx="1">
                  <c:v>École albanaise d'administration publique</c:v>
                </c:pt>
                <c:pt idx="2">
                  <c:v>Élaboration des politiques, législation et suivi</c:v>
                </c:pt>
                <c:pt idx="3">
                  <c:v>Innovation </c:v>
                </c:pt>
                <c:pt idx="4">
                  <c:v>Administration locale</c:v>
                </c:pt>
                <c:pt idx="5">
                  <c:v>Transparence et A/C </c:v>
                </c:pt>
              </c:strCache>
            </c:strRef>
          </c:cat>
          <c:val>
            <c:numRef>
              <c:f>Résumé!$D$44:$D$49</c:f>
              <c:numCache>
                <c:formatCode>0%</c:formatCode>
                <c:ptCount val="6"/>
                <c:pt idx="0">
                  <c:v>4.5945260914952935E-2</c:v>
                </c:pt>
                <c:pt idx="1">
                  <c:v>0.50694498504242613</c:v>
                </c:pt>
                <c:pt idx="2">
                  <c:v>8.1410592452279829E-2</c:v>
                </c:pt>
                <c:pt idx="3">
                  <c:v>3.9667749321122409E-3</c:v>
                </c:pt>
                <c:pt idx="4">
                  <c:v>2.9312614574490335E-2</c:v>
                </c:pt>
                <c:pt idx="5">
                  <c:v>1.3196328751686609E-3</c:v>
                </c:pt>
              </c:numCache>
            </c:numRef>
          </c:val>
          <c:extLst>
            <c:ext xmlns:c16="http://schemas.microsoft.com/office/drawing/2014/chart" uri="{C3380CC4-5D6E-409C-BE32-E72D297353CC}">
              <c16:uniqueId val="{00000001-9AA1-5A49-A95B-1870E943200B}"/>
            </c:ext>
          </c:extLst>
        </c:ser>
        <c:ser>
          <c:idx val="2"/>
          <c:order val="2"/>
          <c:tx>
            <c:strRef>
              <c:f>Résumé!$E$35</c:f>
              <c:strCache>
                <c:ptCount val="1"/>
                <c:pt idx="0">
                  <c:v>Expertise (locale et étrangère)</c:v>
                </c:pt>
              </c:strCache>
            </c:strRef>
          </c:tx>
          <c:invertIfNegative val="0"/>
          <c:dLbls>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Résumé!$B$44:$B$49</c:f>
              <c:strCache>
                <c:ptCount val="6"/>
                <c:pt idx="0">
                  <c:v>Fonction publique et ressources humaines </c:v>
                </c:pt>
                <c:pt idx="1">
                  <c:v>École albanaise d'administration publique</c:v>
                </c:pt>
                <c:pt idx="2">
                  <c:v>Élaboration des politiques, législation et suivi</c:v>
                </c:pt>
                <c:pt idx="3">
                  <c:v>Innovation </c:v>
                </c:pt>
                <c:pt idx="4">
                  <c:v>Administration locale</c:v>
                </c:pt>
                <c:pt idx="5">
                  <c:v>Transparence et A/C </c:v>
                </c:pt>
              </c:strCache>
            </c:strRef>
          </c:cat>
          <c:val>
            <c:numRef>
              <c:f>Résumé!$E$44:$E$49</c:f>
              <c:numCache>
                <c:formatCode>0%</c:formatCode>
                <c:ptCount val="6"/>
                <c:pt idx="0">
                  <c:v>0.69337606378637062</c:v>
                </c:pt>
                <c:pt idx="1">
                  <c:v>0.14175776514940894</c:v>
                </c:pt>
                <c:pt idx="2">
                  <c:v>0.83643409424940607</c:v>
                </c:pt>
                <c:pt idx="3">
                  <c:v>0.20866781999792089</c:v>
                </c:pt>
                <c:pt idx="4">
                  <c:v>7.5376173427330551E-2</c:v>
                </c:pt>
                <c:pt idx="5">
                  <c:v>0.14404756609284877</c:v>
                </c:pt>
              </c:numCache>
            </c:numRef>
          </c:val>
          <c:extLst>
            <c:ext xmlns:c16="http://schemas.microsoft.com/office/drawing/2014/chart" uri="{C3380CC4-5D6E-409C-BE32-E72D297353CC}">
              <c16:uniqueId val="{00000002-9AA1-5A49-A95B-1870E943200B}"/>
            </c:ext>
          </c:extLst>
        </c:ser>
        <c:ser>
          <c:idx val="3"/>
          <c:order val="3"/>
          <c:tx>
            <c:strRef>
              <c:f>Résumé!$F$35</c:f>
              <c:strCache>
                <c:ptCount val="1"/>
                <c:pt idx="0">
                  <c:v>Dépenses d'information publique (publications)   </c:v>
                </c:pt>
              </c:strCache>
            </c:strRef>
          </c:tx>
          <c:invertIfNegative val="0"/>
          <c:cat>
            <c:strRef>
              <c:f>Résumé!$B$44:$B$49</c:f>
              <c:strCache>
                <c:ptCount val="6"/>
                <c:pt idx="0">
                  <c:v>Fonction publique et ressources humaines </c:v>
                </c:pt>
                <c:pt idx="1">
                  <c:v>École albanaise d'administration publique</c:v>
                </c:pt>
                <c:pt idx="2">
                  <c:v>Élaboration des politiques, législation et suivi</c:v>
                </c:pt>
                <c:pt idx="3">
                  <c:v>Innovation </c:v>
                </c:pt>
                <c:pt idx="4">
                  <c:v>Administration locale</c:v>
                </c:pt>
                <c:pt idx="5">
                  <c:v>Transparence et A/C </c:v>
                </c:pt>
              </c:strCache>
            </c:strRef>
          </c:cat>
          <c:val>
            <c:numRef>
              <c:f>Résumé!$F$44:$F$49</c:f>
              <c:numCache>
                <c:formatCode>0%</c:formatCode>
                <c:ptCount val="6"/>
                <c:pt idx="0">
                  <c:v>3.4367656598375271E-3</c:v>
                </c:pt>
                <c:pt idx="1">
                  <c:v>4.0439537331253394E-3</c:v>
                </c:pt>
                <c:pt idx="2">
                  <c:v>1.6539845215060557E-2</c:v>
                </c:pt>
                <c:pt idx="3">
                  <c:v>7.6605092279177795E-3</c:v>
                </c:pt>
                <c:pt idx="4">
                  <c:v>0</c:v>
                </c:pt>
                <c:pt idx="5">
                  <c:v>0</c:v>
                </c:pt>
              </c:numCache>
            </c:numRef>
          </c:val>
          <c:extLst>
            <c:ext xmlns:c16="http://schemas.microsoft.com/office/drawing/2014/chart" uri="{C3380CC4-5D6E-409C-BE32-E72D297353CC}">
              <c16:uniqueId val="{00000003-9AA1-5A49-A95B-1870E943200B}"/>
            </c:ext>
          </c:extLst>
        </c:ser>
        <c:ser>
          <c:idx val="4"/>
          <c:order val="4"/>
          <c:tx>
            <c:strRef>
              <c:f>Résumé!$G$35</c:f>
              <c:strCache>
                <c:ptCount val="1"/>
                <c:pt idx="0">
                  <c:v>Immeubles</c:v>
                </c:pt>
              </c:strCache>
            </c:strRef>
          </c:tx>
          <c:invertIfNegative val="0"/>
          <c:dLbls>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Résumé!$B$44:$B$49</c:f>
              <c:strCache>
                <c:ptCount val="6"/>
                <c:pt idx="0">
                  <c:v>Fonction publique et ressources humaines </c:v>
                </c:pt>
                <c:pt idx="1">
                  <c:v>École albanaise d'administration publique</c:v>
                </c:pt>
                <c:pt idx="2">
                  <c:v>Élaboration des politiques, législation et suivi</c:v>
                </c:pt>
                <c:pt idx="3">
                  <c:v>Innovation </c:v>
                </c:pt>
                <c:pt idx="4">
                  <c:v>Administration locale</c:v>
                </c:pt>
                <c:pt idx="5">
                  <c:v>Transparence et A/C </c:v>
                </c:pt>
              </c:strCache>
            </c:strRef>
          </c:cat>
          <c:val>
            <c:numRef>
              <c:f>Résumé!$G$44:$G$49</c:f>
              <c:numCache>
                <c:formatCode>0%</c:formatCode>
                <c:ptCount val="6"/>
                <c:pt idx="0">
                  <c:v>0</c:v>
                </c:pt>
                <c:pt idx="1">
                  <c:v>7.0769190329693435E-2</c:v>
                </c:pt>
                <c:pt idx="2">
                  <c:v>0</c:v>
                </c:pt>
                <c:pt idx="3">
                  <c:v>0.36215401647054646</c:v>
                </c:pt>
                <c:pt idx="4">
                  <c:v>0.59424943712398037</c:v>
                </c:pt>
                <c:pt idx="5">
                  <c:v>0</c:v>
                </c:pt>
              </c:numCache>
            </c:numRef>
          </c:val>
          <c:extLst>
            <c:ext xmlns:c16="http://schemas.microsoft.com/office/drawing/2014/chart" uri="{C3380CC4-5D6E-409C-BE32-E72D297353CC}">
              <c16:uniqueId val="{00000004-9AA1-5A49-A95B-1870E943200B}"/>
            </c:ext>
          </c:extLst>
        </c:ser>
        <c:ser>
          <c:idx val="5"/>
          <c:order val="5"/>
          <c:tx>
            <c:strRef>
              <c:f>Résumé!$H$35</c:f>
              <c:strCache>
                <c:ptCount val="1"/>
                <c:pt idx="0">
                  <c:v>Logiciels informatiques</c:v>
                </c:pt>
              </c:strCache>
            </c:strRef>
          </c:tx>
          <c:invertIfNegative val="0"/>
          <c:dLbls>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Résumé!$B$44:$B$49</c:f>
              <c:strCache>
                <c:ptCount val="6"/>
                <c:pt idx="0">
                  <c:v>Fonction publique et ressources humaines </c:v>
                </c:pt>
                <c:pt idx="1">
                  <c:v>École albanaise d'administration publique</c:v>
                </c:pt>
                <c:pt idx="2">
                  <c:v>Élaboration des politiques, législation et suivi</c:v>
                </c:pt>
                <c:pt idx="3">
                  <c:v>Innovation </c:v>
                </c:pt>
                <c:pt idx="4">
                  <c:v>Administration locale</c:v>
                </c:pt>
                <c:pt idx="5">
                  <c:v>Transparence et A/C </c:v>
                </c:pt>
              </c:strCache>
            </c:strRef>
          </c:cat>
          <c:val>
            <c:numRef>
              <c:f>Résumé!$H$44:$H$49</c:f>
              <c:numCache>
                <c:formatCode>0%</c:formatCode>
                <c:ptCount val="6"/>
                <c:pt idx="0">
                  <c:v>0.1053368674740202</c:v>
                </c:pt>
                <c:pt idx="1">
                  <c:v>7.0769190329693435E-2</c:v>
                </c:pt>
                <c:pt idx="2">
                  <c:v>2.303599612125426E-2</c:v>
                </c:pt>
                <c:pt idx="3">
                  <c:v>0.17090820557630432</c:v>
                </c:pt>
                <c:pt idx="4">
                  <c:v>0.18971690104455025</c:v>
                </c:pt>
                <c:pt idx="5">
                  <c:v>0.19987248491318596</c:v>
                </c:pt>
              </c:numCache>
            </c:numRef>
          </c:val>
          <c:extLst>
            <c:ext xmlns:c16="http://schemas.microsoft.com/office/drawing/2014/chart" uri="{C3380CC4-5D6E-409C-BE32-E72D297353CC}">
              <c16:uniqueId val="{00000005-9AA1-5A49-A95B-1870E943200B}"/>
            </c:ext>
          </c:extLst>
        </c:ser>
        <c:ser>
          <c:idx val="6"/>
          <c:order val="6"/>
          <c:tx>
            <c:strRef>
              <c:f>Résumé!$I$35</c:f>
              <c:strCache>
                <c:ptCount val="1"/>
                <c:pt idx="0">
                  <c:v>Équipement informatique</c:v>
                </c:pt>
              </c:strCache>
            </c:strRef>
          </c:tx>
          <c:invertIfNegative val="0"/>
          <c:dLbls>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Résumé!$B$44:$B$49</c:f>
              <c:strCache>
                <c:ptCount val="6"/>
                <c:pt idx="0">
                  <c:v>Fonction publique et ressources humaines </c:v>
                </c:pt>
                <c:pt idx="1">
                  <c:v>École albanaise d'administration publique</c:v>
                </c:pt>
                <c:pt idx="2">
                  <c:v>Élaboration des politiques, législation et suivi</c:v>
                </c:pt>
                <c:pt idx="3">
                  <c:v>Innovation </c:v>
                </c:pt>
                <c:pt idx="4">
                  <c:v>Administration locale</c:v>
                </c:pt>
                <c:pt idx="5">
                  <c:v>Transparence et A/C </c:v>
                </c:pt>
              </c:strCache>
            </c:strRef>
          </c:cat>
          <c:val>
            <c:numRef>
              <c:f>Résumé!$I$44:$I$49</c:f>
              <c:numCache>
                <c:formatCode>0%</c:formatCode>
                <c:ptCount val="6"/>
                <c:pt idx="0">
                  <c:v>3.4367656598375269E-2</c:v>
                </c:pt>
                <c:pt idx="1">
                  <c:v>3.9428548897972059E-2</c:v>
                </c:pt>
                <c:pt idx="2">
                  <c:v>0</c:v>
                </c:pt>
                <c:pt idx="3">
                  <c:v>0.1024623218184031</c:v>
                </c:pt>
                <c:pt idx="4">
                  <c:v>0.1113448738296485</c:v>
                </c:pt>
                <c:pt idx="5">
                  <c:v>5.9309342704209483E-2</c:v>
                </c:pt>
              </c:numCache>
            </c:numRef>
          </c:val>
          <c:extLst>
            <c:ext xmlns:c16="http://schemas.microsoft.com/office/drawing/2014/chart" uri="{C3380CC4-5D6E-409C-BE32-E72D297353CC}">
              <c16:uniqueId val="{00000006-9AA1-5A49-A95B-1870E943200B}"/>
            </c:ext>
          </c:extLst>
        </c:ser>
        <c:ser>
          <c:idx val="7"/>
          <c:order val="7"/>
          <c:tx>
            <c:strRef>
              <c:f>Résumé!$J$35</c:f>
              <c:strCache>
                <c:ptCount val="1"/>
                <c:pt idx="0">
                  <c:v>Fournitures de bureau</c:v>
                </c:pt>
              </c:strCache>
            </c:strRef>
          </c:tx>
          <c:invertIfNegative val="0"/>
          <c:cat>
            <c:strRef>
              <c:f>Résumé!$B$44:$B$49</c:f>
              <c:strCache>
                <c:ptCount val="6"/>
                <c:pt idx="0">
                  <c:v>Fonction publique et ressources humaines </c:v>
                </c:pt>
                <c:pt idx="1">
                  <c:v>École albanaise d'administration publique</c:v>
                </c:pt>
                <c:pt idx="2">
                  <c:v>Élaboration des politiques, législation et suivi</c:v>
                </c:pt>
                <c:pt idx="3">
                  <c:v>Innovation </c:v>
                </c:pt>
                <c:pt idx="4">
                  <c:v>Administration locale</c:v>
                </c:pt>
                <c:pt idx="5">
                  <c:v>Transparence et A/C </c:v>
                </c:pt>
              </c:strCache>
            </c:strRef>
          </c:cat>
          <c:val>
            <c:numRef>
              <c:f>Résumé!$J$44:$J$49</c:f>
              <c:numCache>
                <c:formatCode>0%</c:formatCode>
                <c:ptCount val="6"/>
                <c:pt idx="0">
                  <c:v>0</c:v>
                </c:pt>
                <c:pt idx="1">
                  <c:v>1.6175814932501358E-2</c:v>
                </c:pt>
                <c:pt idx="2">
                  <c:v>0</c:v>
                </c:pt>
                <c:pt idx="3">
                  <c:v>1.0031034404070984E-3</c:v>
                </c:pt>
                <c:pt idx="4">
                  <c:v>0</c:v>
                </c:pt>
                <c:pt idx="5">
                  <c:v>0</c:v>
                </c:pt>
              </c:numCache>
            </c:numRef>
          </c:val>
          <c:extLst>
            <c:ext xmlns:c16="http://schemas.microsoft.com/office/drawing/2014/chart" uri="{C3380CC4-5D6E-409C-BE32-E72D297353CC}">
              <c16:uniqueId val="{00000007-9AA1-5A49-A95B-1870E943200B}"/>
            </c:ext>
          </c:extLst>
        </c:ser>
        <c:ser>
          <c:idx val="8"/>
          <c:order val="8"/>
          <c:tx>
            <c:strRef>
              <c:f>Résumé!$K$35</c:f>
              <c:strCache>
                <c:ptCount val="1"/>
                <c:pt idx="0">
                  <c:v>Autres dépenses et entretien</c:v>
                </c:pt>
              </c:strCache>
            </c:strRef>
          </c:tx>
          <c:invertIfNegative val="0"/>
          <c:dLbls>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Résumé!$B$44:$B$49</c:f>
              <c:strCache>
                <c:ptCount val="6"/>
                <c:pt idx="0">
                  <c:v>Fonction publique et ressources humaines </c:v>
                </c:pt>
                <c:pt idx="1">
                  <c:v>École albanaise d'administration publique</c:v>
                </c:pt>
                <c:pt idx="2">
                  <c:v>Élaboration des politiques, législation et suivi</c:v>
                </c:pt>
                <c:pt idx="3">
                  <c:v>Innovation </c:v>
                </c:pt>
                <c:pt idx="4">
                  <c:v>Administration locale</c:v>
                </c:pt>
                <c:pt idx="5">
                  <c:v>Transparence et A/C </c:v>
                </c:pt>
              </c:strCache>
            </c:strRef>
          </c:cat>
          <c:val>
            <c:numRef>
              <c:f>Résumé!$K$44:$K$49</c:f>
              <c:numCache>
                <c:formatCode>0%</c:formatCode>
                <c:ptCount val="6"/>
                <c:pt idx="0">
                  <c:v>0.11753738556644341</c:v>
                </c:pt>
                <c:pt idx="1">
                  <c:v>7.7319384388923204E-2</c:v>
                </c:pt>
                <c:pt idx="2">
                  <c:v>1.8695751183482854E-2</c:v>
                </c:pt>
                <c:pt idx="3">
                  <c:v>7.5120721042796545E-2</c:v>
                </c:pt>
                <c:pt idx="4">
                  <c:v>0</c:v>
                </c:pt>
                <c:pt idx="5">
                  <c:v>0.59545097341458708</c:v>
                </c:pt>
              </c:numCache>
            </c:numRef>
          </c:val>
          <c:extLst>
            <c:ext xmlns:c16="http://schemas.microsoft.com/office/drawing/2014/chart" uri="{C3380CC4-5D6E-409C-BE32-E72D297353CC}">
              <c16:uniqueId val="{00000008-9AA1-5A49-A95B-1870E943200B}"/>
            </c:ext>
          </c:extLst>
        </c:ser>
        <c:dLbls>
          <c:showLegendKey val="0"/>
          <c:showVal val="0"/>
          <c:showCatName val="0"/>
          <c:showSerName val="0"/>
          <c:showPercent val="0"/>
          <c:showBubbleSize val="0"/>
        </c:dLbls>
        <c:gapWidth val="150"/>
        <c:shape val="box"/>
        <c:axId val="601679679"/>
        <c:axId val="1"/>
        <c:axId val="0"/>
      </c:bar3DChart>
      <c:catAx>
        <c:axId val="601679679"/>
        <c:scaling>
          <c:orientation val="minMax"/>
        </c:scaling>
        <c:delete val="0"/>
        <c:axPos val="b"/>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601679679"/>
        <c:crosses val="autoZero"/>
        <c:crossBetween val="between"/>
      </c:valAx>
      <c:spPr>
        <a:noFill/>
        <a:ln w="25400">
          <a:noFill/>
        </a:ln>
      </c:spPr>
    </c:plotArea>
    <c:legend>
      <c:legendPos val="r"/>
      <c:layout>
        <c:manualLayout>
          <c:xMode val="edge"/>
          <c:yMode val="edge"/>
          <c:x val="0.74897753320572302"/>
          <c:y val="0.31927113705910593"/>
          <c:w val="0.23152750560921792"/>
          <c:h val="0.35885020363668102"/>
        </c:manualLayout>
      </c:layout>
      <c:overlay val="0"/>
      <c:txPr>
        <a:bodyPr/>
        <a:lstStyle/>
        <a:p>
          <a:pPr>
            <a:defRPr sz="63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900" b="0" i="0" u="none" strike="noStrike" baseline="0">
          <a:solidFill>
            <a:srgbClr val="000000"/>
          </a:solidFill>
          <a:latin typeface="Calibri"/>
          <a:ea typeface="Calibri"/>
          <a:cs typeface="Calibri"/>
        </a:defRPr>
      </a:pPr>
      <a:endParaRPr lang="en-US"/>
    </a:p>
  </c:txPr>
  <c:printSettings>
    <c:headerFooter/>
    <c:pageMargins b="0.75000000000000144" l="0.70000000000000062" r="0.70000000000000062" t="0.75000000000000144"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75"/>
      <c:rotY val="0"/>
      <c:rAngAx val="0"/>
      <c:perspective val="0"/>
    </c:view3D>
    <c:floor>
      <c:thickness val="0"/>
    </c:floor>
    <c:sideWall>
      <c:thickness val="0"/>
    </c:sideWall>
    <c:backWall>
      <c:thickness val="0"/>
    </c:backWall>
    <c:plotArea>
      <c:layout>
        <c:manualLayout>
          <c:layoutTarget val="inner"/>
          <c:xMode val="edge"/>
          <c:yMode val="edge"/>
          <c:x val="0.32027090425247773"/>
          <c:y val="0.1174789209366361"/>
          <c:w val="0.35810881699116542"/>
          <c:h val="0.76218031632061456"/>
        </c:manualLayout>
      </c:layout>
      <c:pie3DChart>
        <c:varyColors val="1"/>
        <c:ser>
          <c:idx val="0"/>
          <c:order val="0"/>
          <c:explosion val="25"/>
          <c:dPt>
            <c:idx val="0"/>
            <c:bubble3D val="0"/>
            <c:extLst>
              <c:ext xmlns:c16="http://schemas.microsoft.com/office/drawing/2014/chart" uri="{C3380CC4-5D6E-409C-BE32-E72D297353CC}">
                <c16:uniqueId val="{00000000-2D0C-FA45-80A6-360F40B06497}"/>
              </c:ext>
            </c:extLst>
          </c:dPt>
          <c:dPt>
            <c:idx val="1"/>
            <c:bubble3D val="0"/>
            <c:extLst>
              <c:ext xmlns:c16="http://schemas.microsoft.com/office/drawing/2014/chart" uri="{C3380CC4-5D6E-409C-BE32-E72D297353CC}">
                <c16:uniqueId val="{00000001-2D0C-FA45-80A6-360F40B06497}"/>
              </c:ext>
            </c:extLst>
          </c:dPt>
          <c:dPt>
            <c:idx val="2"/>
            <c:bubble3D val="0"/>
            <c:extLst>
              <c:ext xmlns:c16="http://schemas.microsoft.com/office/drawing/2014/chart" uri="{C3380CC4-5D6E-409C-BE32-E72D297353CC}">
                <c16:uniqueId val="{00000002-2D0C-FA45-80A6-360F40B06497}"/>
              </c:ext>
            </c:extLst>
          </c:dPt>
          <c:dPt>
            <c:idx val="3"/>
            <c:bubble3D val="0"/>
            <c:extLst>
              <c:ext xmlns:c16="http://schemas.microsoft.com/office/drawing/2014/chart" uri="{C3380CC4-5D6E-409C-BE32-E72D297353CC}">
                <c16:uniqueId val="{00000003-2D0C-FA45-80A6-360F40B06497}"/>
              </c:ext>
            </c:extLst>
          </c:dPt>
          <c:dPt>
            <c:idx val="4"/>
            <c:bubble3D val="0"/>
            <c:extLst>
              <c:ext xmlns:c16="http://schemas.microsoft.com/office/drawing/2014/chart" uri="{C3380CC4-5D6E-409C-BE32-E72D297353CC}">
                <c16:uniqueId val="{00000004-2D0C-FA45-80A6-360F40B06497}"/>
              </c:ext>
            </c:extLst>
          </c:dPt>
          <c:dPt>
            <c:idx val="5"/>
            <c:bubble3D val="0"/>
            <c:extLst>
              <c:ext xmlns:c16="http://schemas.microsoft.com/office/drawing/2014/chart" uri="{C3380CC4-5D6E-409C-BE32-E72D297353CC}">
                <c16:uniqueId val="{00000005-2D0C-FA45-80A6-360F40B06497}"/>
              </c:ext>
            </c:extLst>
          </c:dPt>
          <c:dLbls>
            <c:dLbl>
              <c:idx val="0"/>
              <c:tx>
                <c:rich>
                  <a:bodyPr/>
                  <a:lstStyle/>
                  <a:p>
                    <a:fld id="{B0A374F7-BC1C-0D46-9065-3F4871ED94C8}" type="CATEGORYNAME">
                      <a:rPr lang="en-US"/>
                      <a:pPr/>
                      <a:t>[CATEGORY NAME]</a:t>
                    </a:fld>
                    <a:r>
                      <a:rPr lang="en-US" baseline="0"/>
                      <a:t>
24 %</a:t>
                    </a:r>
                  </a:p>
                </c:rich>
              </c:tx>
              <c:dLblPos val="outEnd"/>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2D0C-FA45-80A6-360F40B06497}"/>
                </c:ext>
              </c:extLst>
            </c:dLbl>
            <c:dLbl>
              <c:idx val="1"/>
              <c:tx>
                <c:rich>
                  <a:bodyPr/>
                  <a:lstStyle/>
                  <a:p>
                    <a:fld id="{9F69EC06-7D25-1A4F-B297-2821326201F0}" type="CATEGORYNAME">
                      <a:rPr lang="en-US"/>
                      <a:pPr/>
                      <a:t>[CATEGORY NAME]</a:t>
                    </a:fld>
                    <a:r>
                      <a:rPr lang="en-US" baseline="0"/>
                      <a:t>
7 %</a:t>
                    </a:r>
                  </a:p>
                </c:rich>
              </c:tx>
              <c:dLblPos val="outEnd"/>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2D0C-FA45-80A6-360F40B06497}"/>
                </c:ext>
              </c:extLst>
            </c:dLbl>
            <c:dLbl>
              <c:idx val="2"/>
              <c:tx>
                <c:rich>
                  <a:bodyPr/>
                  <a:lstStyle/>
                  <a:p>
                    <a:pPr>
                      <a:defRPr sz="1000" b="0" i="0" u="none" strike="noStrike" baseline="0">
                        <a:solidFill>
                          <a:srgbClr val="000000"/>
                        </a:solidFill>
                        <a:latin typeface="Calibri"/>
                        <a:ea typeface="Calibri"/>
                        <a:cs typeface="Calibri"/>
                      </a:defRPr>
                    </a:pPr>
                    <a:r>
                      <a:rPr lang="en-US"/>
                      <a:t>Donneurs (CdE +)
8 %</a:t>
                    </a:r>
                  </a:p>
                </c:rich>
              </c:tx>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D0C-FA45-80A6-360F40B06497}"/>
                </c:ext>
              </c:extLst>
            </c:dLbl>
            <c:dLbl>
              <c:idx val="3"/>
              <c:tx>
                <c:rich>
                  <a:bodyPr/>
                  <a:lstStyle/>
                  <a:p>
                    <a:pPr>
                      <a:defRPr sz="1000" b="0" i="0" u="none" strike="noStrike" baseline="0">
                        <a:solidFill>
                          <a:srgbClr val="000000"/>
                        </a:solidFill>
                        <a:latin typeface="Calibri"/>
                        <a:ea typeface="Calibri"/>
                        <a:cs typeface="Calibri"/>
                      </a:defRPr>
                    </a:pPr>
                    <a:r>
                      <a:rPr lang="en-US"/>
                      <a:t>Banque mondiale
0 %</a:t>
                    </a:r>
                  </a:p>
                </c:rich>
              </c:tx>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D0C-FA45-80A6-360F40B06497}"/>
                </c:ext>
              </c:extLst>
            </c:dLbl>
            <c:dLbl>
              <c:idx val="4"/>
              <c:tx>
                <c:rich>
                  <a:bodyPr/>
                  <a:lstStyle/>
                  <a:p>
                    <a:fld id="{42792D39-DA72-6940-BBE1-10F9D55FFA13}" type="CATEGORYNAME">
                      <a:rPr lang="en-US"/>
                      <a:pPr/>
                      <a:t>[CATEGORY NAME]</a:t>
                    </a:fld>
                    <a:r>
                      <a:rPr lang="en-US" baseline="0"/>
                      <a:t>
 1 %</a:t>
                    </a:r>
                  </a:p>
                </c:rich>
              </c:tx>
              <c:dLblPos val="outEnd"/>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2D0C-FA45-80A6-360F40B06497}"/>
                </c:ext>
              </c:extLst>
            </c:dLbl>
            <c:dLbl>
              <c:idx val="5"/>
              <c:layout>
                <c:manualLayout>
                  <c:x val="0.10810810810810811"/>
                  <c:y val="0.10983763132760267"/>
                </c:manualLayout>
              </c:layout>
              <c:tx>
                <c:rich>
                  <a:bodyPr/>
                  <a:lstStyle/>
                  <a:p>
                    <a:pPr>
                      <a:defRPr sz="1000" b="0" i="0" u="none" strike="noStrike" baseline="0">
                        <a:solidFill>
                          <a:srgbClr val="000000"/>
                        </a:solidFill>
                        <a:latin typeface="Calibri"/>
                        <a:ea typeface="Calibri"/>
                        <a:cs typeface="Calibri"/>
                      </a:defRPr>
                    </a:pPr>
                    <a:fld id="{16C0DDE9-EFC1-AC42-8071-BF59D6CB594B}" type="CATEGORYNAME">
                      <a:rPr lang="en-US"/>
                      <a:pPr>
                        <a:defRPr sz="1000" b="0" i="0" u="none" strike="noStrike" baseline="0">
                          <a:solidFill>
                            <a:srgbClr val="000000"/>
                          </a:solidFill>
                          <a:latin typeface="Calibri"/>
                          <a:ea typeface="Calibri"/>
                          <a:cs typeface="Calibri"/>
                        </a:defRPr>
                      </a:pPr>
                      <a:t>[CATEGORY NAME]</a:t>
                    </a:fld>
                    <a:r>
                      <a:rPr lang="en-US" baseline="0"/>
                      <a:t>
 45 %</a:t>
                    </a:r>
                  </a:p>
                </c:rich>
              </c:tx>
              <c:sp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2D0C-FA45-80A6-360F40B06497}"/>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extLst>
          </c:dLbls>
          <c:cat>
            <c:strRef>
              <c:f>Résumé!$B$54:$B$59</c:f>
              <c:strCache>
                <c:ptCount val="6"/>
                <c:pt idx="0">
                  <c:v>Budget de l'État</c:v>
                </c:pt>
                <c:pt idx="1">
                  <c:v>UE (IAP)</c:v>
                </c:pt>
                <c:pt idx="2">
                  <c:v>Donneurs (CdE+)</c:v>
                </c:pt>
                <c:pt idx="3">
                  <c:v>Banque mondiale</c:v>
                </c:pt>
                <c:pt idx="4">
                  <c:v>PNUD</c:v>
                </c:pt>
                <c:pt idx="5">
                  <c:v>Écart financier</c:v>
                </c:pt>
              </c:strCache>
            </c:strRef>
          </c:cat>
          <c:val>
            <c:numRef>
              <c:f>Résumé!$C$54:$C$59</c:f>
              <c:numCache>
                <c:formatCode>_(* #,##0.00_);_(* \(#,##0.00\);_(* "-"??_);_(@_)</c:formatCode>
                <c:ptCount val="6"/>
                <c:pt idx="0">
                  <c:v>18818158.4012</c:v>
                </c:pt>
                <c:pt idx="1">
                  <c:v>5394266.25</c:v>
                </c:pt>
                <c:pt idx="2">
                  <c:v>315000</c:v>
                </c:pt>
                <c:pt idx="3">
                  <c:v>18053278</c:v>
                </c:pt>
                <c:pt idx="4">
                  <c:v>916078</c:v>
                </c:pt>
                <c:pt idx="5">
                  <c:v>36147733.748799995</c:v>
                </c:pt>
              </c:numCache>
            </c:numRef>
          </c:val>
          <c:extLst>
            <c:ext xmlns:c16="http://schemas.microsoft.com/office/drawing/2014/chart" uri="{C3380CC4-5D6E-409C-BE32-E72D297353CC}">
              <c16:uniqueId val="{00000006-2D0C-FA45-80A6-360F40B06497}"/>
            </c:ext>
          </c:extLst>
        </c:ser>
        <c:dLbls>
          <c:showLegendKey val="0"/>
          <c:showVal val="0"/>
          <c:showCatName val="0"/>
          <c:showSerName val="0"/>
          <c:showPercent val="0"/>
          <c:showBubbleSize val="0"/>
          <c:showLeaderLines val="0"/>
        </c:dLbls>
      </c:pie3D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44" l="0.70000000000000062" r="0.70000000000000062" t="0.75000000000000144"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1</xdr:row>
      <xdr:rowOff>25400</xdr:rowOff>
    </xdr:from>
    <xdr:to>
      <xdr:col>11</xdr:col>
      <xdr:colOff>419100</xdr:colOff>
      <xdr:row>7</xdr:row>
      <xdr:rowOff>114300</xdr:rowOff>
    </xdr:to>
    <xdr:pic>
      <xdr:nvPicPr>
        <xdr:cNvPr id="46096" name="Picture 2">
          <a:extLst>
            <a:ext uri="{FF2B5EF4-FFF2-40B4-BE49-F238E27FC236}">
              <a16:creationId xmlns:a16="http://schemas.microsoft.com/office/drawing/2014/main" id="{A2C6DA8A-126A-2747-9BB3-E5D0FBF9C96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215900"/>
          <a:ext cx="8356600" cy="1231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152400</xdr:colOff>
      <xdr:row>4</xdr:row>
      <xdr:rowOff>12700</xdr:rowOff>
    </xdr:from>
    <xdr:to>
      <xdr:col>15</xdr:col>
      <xdr:colOff>533400</xdr:colOff>
      <xdr:row>18</xdr:row>
      <xdr:rowOff>101600</xdr:rowOff>
    </xdr:to>
    <xdr:graphicFrame macro="">
      <xdr:nvGraphicFramePr>
        <xdr:cNvPr id="7265" name="Chart 1">
          <a:extLst>
            <a:ext uri="{FF2B5EF4-FFF2-40B4-BE49-F238E27FC236}">
              <a16:creationId xmlns:a16="http://schemas.microsoft.com/office/drawing/2014/main" id="{46B2B149-8517-CF4B-A6C3-3CCC2AF93A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190500</xdr:colOff>
      <xdr:row>21</xdr:row>
      <xdr:rowOff>12700</xdr:rowOff>
    </xdr:from>
    <xdr:to>
      <xdr:col>16</xdr:col>
      <xdr:colOff>25400</xdr:colOff>
      <xdr:row>30</xdr:row>
      <xdr:rowOff>0</xdr:rowOff>
    </xdr:to>
    <xdr:graphicFrame macro="">
      <xdr:nvGraphicFramePr>
        <xdr:cNvPr id="7266" name="Chart 2">
          <a:extLst>
            <a:ext uri="{FF2B5EF4-FFF2-40B4-BE49-F238E27FC236}">
              <a16:creationId xmlns:a16="http://schemas.microsoft.com/office/drawing/2014/main" id="{1443F8BD-8B54-D948-802E-62B4BBA2AA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342900</xdr:colOff>
      <xdr:row>33</xdr:row>
      <xdr:rowOff>25400</xdr:rowOff>
    </xdr:from>
    <xdr:to>
      <xdr:col>25</xdr:col>
      <xdr:colOff>215900</xdr:colOff>
      <xdr:row>51</xdr:row>
      <xdr:rowOff>177800</xdr:rowOff>
    </xdr:to>
    <xdr:graphicFrame macro="">
      <xdr:nvGraphicFramePr>
        <xdr:cNvPr id="7267" name="Chart 5">
          <a:extLst>
            <a:ext uri="{FF2B5EF4-FFF2-40B4-BE49-F238E27FC236}">
              <a16:creationId xmlns:a16="http://schemas.microsoft.com/office/drawing/2014/main" id="{C5646ABA-602D-3C4E-90DE-172279300C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482600</xdr:colOff>
      <xdr:row>51</xdr:row>
      <xdr:rowOff>101600</xdr:rowOff>
    </xdr:from>
    <xdr:to>
      <xdr:col>10</xdr:col>
      <xdr:colOff>38100</xdr:colOff>
      <xdr:row>65</xdr:row>
      <xdr:rowOff>165100</xdr:rowOff>
    </xdr:to>
    <xdr:graphicFrame macro="">
      <xdr:nvGraphicFramePr>
        <xdr:cNvPr id="7268" name="Chart 6">
          <a:extLst>
            <a:ext uri="{FF2B5EF4-FFF2-40B4-BE49-F238E27FC236}">
              <a16:creationId xmlns:a16="http://schemas.microsoft.com/office/drawing/2014/main" id="{CB11D566-A95A-9C4E-9A79-51D4C51AC3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PC\AppData\Local\Microsoft\Windows\Temporary%20Internet%20Files\Content.Outlook\M987B4P8\SNRAP%20costing%20table%20Inovacioni%2016%2001%202015_bis_L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uxhetimi i produkteve"/>
      <sheetName val="D.Cmimet referuese "/>
      <sheetName val="Sheet1"/>
      <sheetName val="Sheet2"/>
    </sheetNames>
    <sheetDataSet>
      <sheetData sheetId="0" refreshError="1"/>
      <sheetData sheetId="1" refreshError="1"/>
      <sheetData sheetId="2" refreshError="1"/>
      <sheetData sheetId="3">
        <row r="25">
          <cell r="I25">
            <v>3476278.5714285714</v>
          </cell>
        </row>
        <row r="26">
          <cell r="I26">
            <v>2967650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oecd.org/termsandconditions" TargetMode="External"/><Relationship Id="rId1" Type="http://schemas.openxmlformats.org/officeDocument/2006/relationships/hyperlink" Target="mailto:sigmaweb@oecd.org"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2:O29"/>
  <sheetViews>
    <sheetView zoomScale="110" zoomScaleNormal="110" workbookViewId="0">
      <selection activeCell="B18" sqref="B18"/>
    </sheetView>
  </sheetViews>
  <sheetFormatPr defaultColWidth="11.42578125" defaultRowHeight="15" x14ac:dyDescent="0.25"/>
  <cols>
    <col min="1" max="1" width="8.85546875" customWidth="1"/>
    <col min="2" max="2" width="9.140625" style="782" customWidth="1"/>
    <col min="3" max="4" width="8.85546875" customWidth="1"/>
    <col min="5" max="5" width="16" bestFit="1" customWidth="1"/>
    <col min="6" max="256" width="8.85546875" customWidth="1"/>
  </cols>
  <sheetData>
    <row r="12" spans="1:15" ht="28.5" x14ac:dyDescent="0.45">
      <c r="A12" s="783"/>
      <c r="B12" s="783"/>
      <c r="C12" s="784" t="s">
        <v>228</v>
      </c>
      <c r="D12" s="784"/>
      <c r="E12" s="783"/>
      <c r="F12" s="783"/>
      <c r="G12" s="783"/>
      <c r="H12" s="783"/>
      <c r="I12" s="783"/>
      <c r="J12" s="783"/>
      <c r="K12" s="783"/>
      <c r="L12" s="783"/>
      <c r="M12" s="783"/>
      <c r="N12" s="783"/>
      <c r="O12" s="783"/>
    </row>
    <row r="13" spans="1:15" ht="28.5" x14ac:dyDescent="0.45">
      <c r="A13" s="783"/>
      <c r="B13" s="783"/>
      <c r="C13" s="784" t="s">
        <v>614</v>
      </c>
      <c r="D13" s="784"/>
      <c r="E13" s="783"/>
      <c r="F13" s="783"/>
      <c r="G13" s="783"/>
      <c r="H13" s="783"/>
      <c r="I13" s="783"/>
      <c r="J13" s="783"/>
      <c r="K13" s="783"/>
      <c r="L13" s="783"/>
      <c r="M13" s="783"/>
      <c r="N13" s="783"/>
      <c r="O13" s="783"/>
    </row>
    <row r="14" spans="1:15" ht="28.5" x14ac:dyDescent="0.45">
      <c r="A14" s="783"/>
      <c r="B14" s="783"/>
      <c r="D14" s="784" t="s">
        <v>229</v>
      </c>
      <c r="E14" s="784"/>
      <c r="F14" s="783"/>
      <c r="G14" s="783"/>
      <c r="H14" s="783"/>
      <c r="I14" s="783"/>
      <c r="J14" s="783"/>
      <c r="K14" s="783"/>
      <c r="L14" s="783"/>
      <c r="M14" s="783"/>
      <c r="N14" s="783"/>
      <c r="O14" s="783"/>
    </row>
    <row r="15" spans="1:15" ht="28.5" x14ac:dyDescent="0.45">
      <c r="A15" s="783"/>
      <c r="B15" s="785"/>
      <c r="C15" s="784"/>
      <c r="K15" s="783"/>
      <c r="L15" s="783"/>
      <c r="M15" s="783"/>
      <c r="N15" s="783"/>
      <c r="O15" s="783"/>
    </row>
    <row r="16" spans="1:15" ht="28.5" x14ac:dyDescent="0.45">
      <c r="A16" s="783"/>
      <c r="B16" s="783"/>
      <c r="C16" s="783"/>
      <c r="D16" s="784" t="s">
        <v>230</v>
      </c>
      <c r="E16" s="784"/>
      <c r="K16" s="783"/>
      <c r="L16" s="783"/>
      <c r="M16" s="783"/>
      <c r="N16" s="783"/>
      <c r="O16" s="783"/>
    </row>
    <row r="17" spans="1:15" ht="28.5" x14ac:dyDescent="0.45">
      <c r="A17" s="783"/>
      <c r="B17" s="785"/>
      <c r="C17" s="783"/>
      <c r="K17" s="783"/>
      <c r="L17" s="783"/>
      <c r="M17" s="783"/>
      <c r="N17" s="783"/>
      <c r="O17" s="783"/>
    </row>
    <row r="18" spans="1:15" ht="28.5" x14ac:dyDescent="0.45">
      <c r="A18" s="783"/>
      <c r="C18" s="783"/>
      <c r="D18" s="783"/>
      <c r="E18" s="819" t="s">
        <v>231</v>
      </c>
      <c r="F18" s="819"/>
      <c r="G18" s="819"/>
      <c r="H18" s="819"/>
      <c r="I18" s="819"/>
      <c r="J18" s="783"/>
      <c r="K18" s="783"/>
      <c r="L18" s="783"/>
      <c r="M18" s="783"/>
      <c r="N18" s="783"/>
      <c r="O18" s="783"/>
    </row>
    <row r="19" spans="1:15" ht="28.5" x14ac:dyDescent="0.45">
      <c r="D19" s="784" t="s">
        <v>237</v>
      </c>
      <c r="E19" s="784"/>
      <c r="F19" s="783"/>
      <c r="G19" s="783"/>
      <c r="H19" s="783"/>
      <c r="I19" s="783"/>
      <c r="J19" s="783"/>
    </row>
    <row r="20" spans="1:15" ht="38.25" customHeight="1" x14ac:dyDescent="0.45">
      <c r="D20" s="783"/>
      <c r="E20" s="783"/>
      <c r="F20" s="783"/>
      <c r="G20" s="783"/>
      <c r="H20" s="783"/>
      <c r="I20" s="783"/>
      <c r="J20" s="783"/>
    </row>
    <row r="21" spans="1:15" ht="28.5" x14ac:dyDescent="0.45">
      <c r="D21" s="784" t="s">
        <v>235</v>
      </c>
      <c r="E21" s="783"/>
      <c r="F21" s="783"/>
      <c r="G21" s="783"/>
      <c r="H21" s="783"/>
      <c r="I21" s="783"/>
      <c r="J21" s="783"/>
    </row>
    <row r="22" spans="1:15" ht="28.5" x14ac:dyDescent="0.45">
      <c r="E22" s="784" t="s">
        <v>236</v>
      </c>
    </row>
    <row r="24" spans="1:15" ht="28.5" customHeight="1" x14ac:dyDescent="0.25"/>
    <row r="25" spans="1:15" ht="30" customHeight="1" x14ac:dyDescent="0.25"/>
    <row r="26" spans="1:15" ht="27" customHeight="1" x14ac:dyDescent="0.25"/>
    <row r="27" spans="1:15" ht="15" customHeight="1" x14ac:dyDescent="0.25">
      <c r="B27" s="820" t="s">
        <v>226</v>
      </c>
      <c r="C27" s="820"/>
      <c r="D27" s="821" t="s">
        <v>232</v>
      </c>
      <c r="E27" s="822"/>
      <c r="F27" s="822"/>
      <c r="G27" s="822"/>
      <c r="H27" s="822"/>
      <c r="I27" s="822"/>
      <c r="J27" s="822"/>
    </row>
    <row r="28" spans="1:15" ht="15" customHeight="1" x14ac:dyDescent="0.25">
      <c r="B28" s="823" t="s">
        <v>225</v>
      </c>
      <c r="C28" s="820"/>
      <c r="D28" s="821" t="s">
        <v>233</v>
      </c>
      <c r="E28" s="822"/>
      <c r="F28" s="822"/>
      <c r="G28" s="822"/>
      <c r="H28" s="822"/>
      <c r="I28" s="822"/>
      <c r="J28" s="822"/>
    </row>
    <row r="29" spans="1:15" ht="15" customHeight="1" x14ac:dyDescent="0.25">
      <c r="B29" s="816" t="s">
        <v>227</v>
      </c>
      <c r="C29" s="816"/>
      <c r="D29" s="817" t="s">
        <v>234</v>
      </c>
      <c r="E29" s="818"/>
      <c r="F29" s="818"/>
      <c r="G29" s="818"/>
      <c r="H29" s="818"/>
      <c r="I29" s="818"/>
      <c r="J29" s="818"/>
    </row>
  </sheetData>
  <mergeCells count="7">
    <mergeCell ref="B29:C29"/>
    <mergeCell ref="D29:J29"/>
    <mergeCell ref="E18:I18"/>
    <mergeCell ref="B27:C27"/>
    <mergeCell ref="D27:J27"/>
    <mergeCell ref="B28:C28"/>
    <mergeCell ref="D28:J28"/>
  </mergeCells>
  <hyperlinks>
    <hyperlink ref="B28" r:id="rId1"/>
    <hyperlink ref="D29" r:id="rId2" display="http://www.oecd.org/termsandconditions"/>
  </hyperlinks>
  <pageMargins left="0.7" right="0.7" top="0.75" bottom="0.75" header="0.3" footer="0.3"/>
  <pageSetup paperSize="9" orientation="portrait"/>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59"/>
  <sheetViews>
    <sheetView zoomScale="110" zoomScaleNormal="110" workbookViewId="0">
      <selection activeCell="B4" sqref="B4"/>
    </sheetView>
  </sheetViews>
  <sheetFormatPr defaultColWidth="11.42578125" defaultRowHeight="15" x14ac:dyDescent="0.25"/>
  <cols>
    <col min="1" max="1" width="8.85546875" customWidth="1"/>
    <col min="2" max="2" width="20" style="676" customWidth="1"/>
    <col min="3" max="3" width="12.7109375" style="676" customWidth="1"/>
    <col min="4" max="4" width="15.140625" style="676" customWidth="1"/>
    <col min="5" max="5" width="12.85546875" style="676" customWidth="1"/>
    <col min="6" max="6" width="13.28515625" style="676" customWidth="1"/>
    <col min="7" max="7" width="13.42578125" style="676" customWidth="1"/>
    <col min="8" max="9" width="11.7109375" style="676" bestFit="1" customWidth="1"/>
    <col min="10" max="10" width="9.7109375" style="676" bestFit="1" customWidth="1"/>
    <col min="11" max="11" width="14.140625" style="676" customWidth="1"/>
    <col min="12" max="12" width="12.140625" style="676" customWidth="1"/>
    <col min="13" max="13" width="15.140625" customWidth="1"/>
    <col min="14" max="256" width="8.85546875" customWidth="1"/>
  </cols>
  <sheetData>
    <row r="2" spans="2:9" x14ac:dyDescent="0.25">
      <c r="D2" s="675" t="s">
        <v>238</v>
      </c>
    </row>
    <row r="4" spans="2:9" ht="15.75" thickBot="1" x14ac:dyDescent="0.3">
      <c r="B4" s="716" t="s">
        <v>239</v>
      </c>
    </row>
    <row r="5" spans="2:9" ht="15.75" thickBot="1" x14ac:dyDescent="0.3">
      <c r="B5" s="829" t="s">
        <v>240</v>
      </c>
      <c r="C5" s="831" t="s">
        <v>252</v>
      </c>
      <c r="D5" s="833" t="s">
        <v>279</v>
      </c>
      <c r="E5" s="834"/>
      <c r="F5" s="834"/>
      <c r="G5" s="834"/>
      <c r="H5" s="834"/>
      <c r="I5" s="835"/>
    </row>
    <row r="6" spans="2:9" ht="25.5" thickBot="1" x14ac:dyDescent="0.3">
      <c r="B6" s="830"/>
      <c r="C6" s="832"/>
      <c r="D6" s="714" t="s">
        <v>253</v>
      </c>
      <c r="E6" s="715" t="s">
        <v>254</v>
      </c>
      <c r="F6" s="715" t="s">
        <v>255</v>
      </c>
      <c r="G6" s="715" t="s">
        <v>256</v>
      </c>
      <c r="H6" s="715" t="s">
        <v>257</v>
      </c>
      <c r="I6" s="715" t="s">
        <v>258</v>
      </c>
    </row>
    <row r="7" spans="2:9" x14ac:dyDescent="0.25">
      <c r="B7" s="708" t="s">
        <v>241</v>
      </c>
      <c r="C7" s="698">
        <f>'A.Budgétisation réal.'!F41</f>
        <v>9204025</v>
      </c>
      <c r="D7" s="703">
        <f>'A.Budgétisation réal.'!G41</f>
        <v>8000</v>
      </c>
      <c r="E7" s="703">
        <f>'A.Budgétisation réal.'!H41</f>
        <v>450000</v>
      </c>
      <c r="F7" s="703">
        <f>'A.Budgétisation réal.'!I41</f>
        <v>0</v>
      </c>
      <c r="G7" s="703">
        <f>'A.Budgétisation réal.'!J41</f>
        <v>300000</v>
      </c>
      <c r="H7" s="703">
        <f>'A.Budgétisation réal.'!K41</f>
        <v>0</v>
      </c>
      <c r="I7" s="704">
        <f>'A.Budgétisation réal.'!L41</f>
        <v>8446025</v>
      </c>
    </row>
    <row r="8" spans="2:9" x14ac:dyDescent="0.25">
      <c r="B8" s="709" t="s">
        <v>242</v>
      </c>
      <c r="C8" s="698">
        <f>'A.Budgétisation réal.'!F63</f>
        <v>789330</v>
      </c>
      <c r="D8" s="698">
        <f>'A.Budgétisation réal.'!G63</f>
        <v>7500</v>
      </c>
      <c r="E8" s="698">
        <f>'A.Budgétisation réal.'!H63</f>
        <v>0</v>
      </c>
      <c r="F8" s="698">
        <f>'A.Budgétisation réal.'!I63</f>
        <v>0</v>
      </c>
      <c r="G8" s="698">
        <f>'A.Budgétisation réal.'!J63</f>
        <v>0</v>
      </c>
      <c r="H8" s="698">
        <f>'A.Budgétisation réal.'!K63</f>
        <v>0</v>
      </c>
      <c r="I8" s="700">
        <f>'A.Budgétisation réal.'!L63</f>
        <v>781830</v>
      </c>
    </row>
    <row r="9" spans="2:9" x14ac:dyDescent="0.25">
      <c r="B9" s="709" t="s">
        <v>243</v>
      </c>
      <c r="C9" s="698">
        <f>'A.Budgétisation réal.'!F84</f>
        <v>931375.4</v>
      </c>
      <c r="D9" s="698">
        <f>'A.Budgétisation réal.'!G84</f>
        <v>80645.400000000009</v>
      </c>
      <c r="E9" s="698">
        <f>'A.Budgétisation réal.'!H84</f>
        <v>0</v>
      </c>
      <c r="F9" s="698">
        <f>'A.Budgétisation réal.'!I84</f>
        <v>0</v>
      </c>
      <c r="G9" s="698">
        <f>'A.Budgétisation réal.'!J84</f>
        <v>72900</v>
      </c>
      <c r="H9" s="698">
        <f>'A.Budgétisation réal.'!K84</f>
        <v>0</v>
      </c>
      <c r="I9" s="700">
        <f>'A.Budgétisation réal.'!L84</f>
        <v>777830</v>
      </c>
    </row>
    <row r="10" spans="2:9" x14ac:dyDescent="0.25">
      <c r="B10" s="709" t="s">
        <v>244</v>
      </c>
      <c r="C10" s="698">
        <f>'A.Budgétisation réal.'!F96</f>
        <v>3186525</v>
      </c>
      <c r="D10" s="698">
        <f>'A.Budgétisation réal.'!G96</f>
        <v>70000</v>
      </c>
      <c r="E10" s="698">
        <f>'A.Budgétisation réal.'!H96</f>
        <v>1000000</v>
      </c>
      <c r="F10" s="698">
        <f>'A.Budgétisation réal.'!I96</f>
        <v>315000</v>
      </c>
      <c r="G10" s="698">
        <f>'A.Budgétisation réal.'!J96</f>
        <v>0</v>
      </c>
      <c r="H10" s="698">
        <f>'A.Budgétisation réal.'!K96</f>
        <v>0</v>
      </c>
      <c r="I10" s="700">
        <f>'A.Budgétisation réal.'!L96</f>
        <v>1801525</v>
      </c>
    </row>
    <row r="11" spans="2:9" x14ac:dyDescent="0.25">
      <c r="B11" s="709" t="s">
        <v>245</v>
      </c>
      <c r="C11" s="698">
        <f>'A.Budgétisation réal.'!F103</f>
        <v>33143170</v>
      </c>
      <c r="D11" s="698">
        <f>'A.Budgétisation réal.'!G103</f>
        <v>13703370</v>
      </c>
      <c r="E11" s="698">
        <f>'A.Budgétisation réal.'!H103</f>
        <v>0</v>
      </c>
      <c r="F11" s="698">
        <f>'A.Budgétisation réal.'!I103</f>
        <v>0</v>
      </c>
      <c r="G11" s="698">
        <f>'A.Budgétisation réal.'!J103</f>
        <v>15485722</v>
      </c>
      <c r="H11" s="698">
        <f>'A.Budgétisation réal.'!K103</f>
        <v>916078</v>
      </c>
      <c r="I11" s="700">
        <f>'A.Budgétisation réal.'!L103</f>
        <v>3038000</v>
      </c>
    </row>
    <row r="12" spans="2:9" x14ac:dyDescent="0.25">
      <c r="B12" s="709" t="s">
        <v>246</v>
      </c>
      <c r="C12" s="698">
        <f>'A.Budgétisation réal.'!F145</f>
        <v>3601931</v>
      </c>
      <c r="D12" s="698">
        <f>'A.Budgétisation réal.'!G145</f>
        <v>567106.51500000001</v>
      </c>
      <c r="E12" s="698">
        <f>'A.Budgétisation réal.'!H145</f>
        <v>1372024.25</v>
      </c>
      <c r="F12" s="698">
        <f>'A.Budgétisation réal.'!I145</f>
        <v>0</v>
      </c>
      <c r="G12" s="698">
        <f>'A.Budgétisation réal.'!J145</f>
        <v>348000</v>
      </c>
      <c r="H12" s="698">
        <f>'A.Budgétisation réal.'!K145</f>
        <v>0</v>
      </c>
      <c r="I12" s="700">
        <f>'A.Budgétisation réal.'!L145</f>
        <v>1314800.2350000001</v>
      </c>
    </row>
    <row r="13" spans="2:9" x14ac:dyDescent="0.25">
      <c r="B13" s="709" t="s">
        <v>247</v>
      </c>
      <c r="C13" s="698">
        <f>'A.Budgétisation réal.'!F151</f>
        <v>810000</v>
      </c>
      <c r="D13" s="698">
        <f>'A.Budgétisation réal.'!G151</f>
        <v>85000</v>
      </c>
      <c r="E13" s="698">
        <f>'A.Budgétisation réal.'!H151</f>
        <v>0</v>
      </c>
      <c r="F13" s="698">
        <f>'A.Budgétisation réal.'!I151</f>
        <v>0</v>
      </c>
      <c r="G13" s="698">
        <f>'A.Budgétisation réal.'!J151</f>
        <v>0</v>
      </c>
      <c r="H13" s="698">
        <f>'A.Budgétisation réal.'!K151</f>
        <v>0</v>
      </c>
      <c r="I13" s="700">
        <f>'A.Budgétisation réal.'!L151</f>
        <v>725000</v>
      </c>
    </row>
    <row r="14" spans="2:9" x14ac:dyDescent="0.25">
      <c r="B14" s="709" t="s">
        <v>248</v>
      </c>
      <c r="C14" s="698">
        <f>'A.Budgétisation réal.'!F165</f>
        <v>10970077</v>
      </c>
      <c r="D14" s="698">
        <f>'A.Budgétisation réal.'!G165</f>
        <v>2322361.4861999997</v>
      </c>
      <c r="E14" s="698">
        <f>'A.Budgétisation réal.'!H165</f>
        <v>1272242</v>
      </c>
      <c r="F14" s="698">
        <f>'A.Budgétisation réal.'!I165</f>
        <v>0</v>
      </c>
      <c r="G14" s="698">
        <f>'A.Budgétisation réal.'!J165</f>
        <v>1583750</v>
      </c>
      <c r="H14" s="698">
        <f>'A.Budgétisation réal.'!K165</f>
        <v>0</v>
      </c>
      <c r="I14" s="700">
        <f>'A.Budgétisation réal.'!L165</f>
        <v>5791723.5137999998</v>
      </c>
    </row>
    <row r="15" spans="2:9" x14ac:dyDescent="0.25">
      <c r="B15" s="709" t="s">
        <v>249</v>
      </c>
      <c r="C15" s="698">
        <f>'A.Budgétisation réal.'!F172</f>
        <v>13708081</v>
      </c>
      <c r="D15" s="698">
        <f>'A.Budgétisation réal.'!G172</f>
        <v>1974175</v>
      </c>
      <c r="E15" s="698">
        <f>'A.Budgétisation réal.'!H172</f>
        <v>0</v>
      </c>
      <c r="F15" s="698">
        <f>'A.Budgétisation réal.'!I172</f>
        <v>0</v>
      </c>
      <c r="G15" s="698">
        <f>'A.Budgétisation réal.'!J172</f>
        <v>262906</v>
      </c>
      <c r="H15" s="698">
        <f>'A.Budgétisation réal.'!K172</f>
        <v>0</v>
      </c>
      <c r="I15" s="700">
        <f>'A.Budgétisation réal.'!L172</f>
        <v>11471000</v>
      </c>
    </row>
    <row r="16" spans="2:9" x14ac:dyDescent="0.25">
      <c r="B16" s="709" t="s">
        <v>250</v>
      </c>
      <c r="C16" s="698">
        <f>'A.Budgétisation réal.'!F178</f>
        <v>2700000</v>
      </c>
      <c r="D16" s="698">
        <f>'A.Budgétisation réal.'!G178</f>
        <v>0</v>
      </c>
      <c r="E16" s="698">
        <f>'A.Budgétisation réal.'!H178</f>
        <v>700000</v>
      </c>
      <c r="F16" s="698">
        <f>'A.Budgétisation réal.'!I178</f>
        <v>0</v>
      </c>
      <c r="G16" s="698">
        <f>'A.Budgétisation réal.'!J178</f>
        <v>0</v>
      </c>
      <c r="H16" s="698">
        <f>'A.Budgétisation réal.'!K178</f>
        <v>0</v>
      </c>
      <c r="I16" s="700">
        <f>'A.Budgétisation réal.'!L178</f>
        <v>2000000</v>
      </c>
    </row>
    <row r="17" spans="2:9" ht="15.75" thickBot="1" x14ac:dyDescent="0.3">
      <c r="B17" s="710" t="s">
        <v>251</v>
      </c>
      <c r="C17" s="705">
        <f>'A.Budgétisation réal.'!F183</f>
        <v>600000</v>
      </c>
      <c r="D17" s="705">
        <f>'A.Budgétisation réal.'!G183</f>
        <v>0</v>
      </c>
      <c r="E17" s="705">
        <f>'A.Budgétisation réal.'!H183</f>
        <v>600000</v>
      </c>
      <c r="F17" s="705">
        <f>'A.Budgétisation réal.'!I183</f>
        <v>0</v>
      </c>
      <c r="G17" s="705">
        <f>'A.Budgétisation réal.'!J183</f>
        <v>0</v>
      </c>
      <c r="H17" s="705">
        <f>'A.Budgétisation réal.'!K183</f>
        <v>0</v>
      </c>
      <c r="I17" s="706">
        <f>'A.Budgétisation réal.'!L183</f>
        <v>0</v>
      </c>
    </row>
    <row r="18" spans="2:9" ht="15.75" thickBot="1" x14ac:dyDescent="0.3">
      <c r="B18" s="711" t="s">
        <v>0</v>
      </c>
      <c r="C18" s="712">
        <f>SUM(C7:C17)</f>
        <v>79644514.400000006</v>
      </c>
      <c r="D18" s="712">
        <f t="shared" ref="D18:I18" si="0">SUM(D7:D17)</f>
        <v>18818158.4012</v>
      </c>
      <c r="E18" s="712">
        <f t="shared" si="0"/>
        <v>5394266.25</v>
      </c>
      <c r="F18" s="712">
        <f t="shared" si="0"/>
        <v>315000</v>
      </c>
      <c r="G18" s="712">
        <f t="shared" si="0"/>
        <v>18053278</v>
      </c>
      <c r="H18" s="712">
        <f t="shared" si="0"/>
        <v>916078</v>
      </c>
      <c r="I18" s="713">
        <f t="shared" si="0"/>
        <v>36147733.748799995</v>
      </c>
    </row>
    <row r="21" spans="2:9" ht="15.75" thickBot="1" x14ac:dyDescent="0.3">
      <c r="B21" s="716" t="s">
        <v>259</v>
      </c>
    </row>
    <row r="22" spans="2:9" ht="15" customHeight="1" thickBot="1" x14ac:dyDescent="0.3">
      <c r="B22" s="836" t="s">
        <v>240</v>
      </c>
      <c r="C22" s="838" t="s">
        <v>252</v>
      </c>
      <c r="D22" s="840" t="s">
        <v>279</v>
      </c>
      <c r="E22" s="841"/>
      <c r="F22" s="841"/>
      <c r="G22" s="841"/>
      <c r="H22" s="841"/>
      <c r="I22" s="842"/>
    </row>
    <row r="23" spans="2:9" ht="15.75" thickBot="1" x14ac:dyDescent="0.3">
      <c r="B23" s="837"/>
      <c r="C23" s="839"/>
      <c r="D23" s="717" t="s">
        <v>253</v>
      </c>
      <c r="E23" s="717" t="s">
        <v>254</v>
      </c>
      <c r="F23" s="717" t="s">
        <v>255</v>
      </c>
      <c r="G23" s="717" t="s">
        <v>256</v>
      </c>
      <c r="H23" s="717" t="s">
        <v>257</v>
      </c>
      <c r="I23" s="717" t="s">
        <v>260</v>
      </c>
    </row>
    <row r="24" spans="2:9" ht="24.75" x14ac:dyDescent="0.25">
      <c r="B24" s="677" t="s">
        <v>261</v>
      </c>
      <c r="C24" s="678">
        <f>'A.Budgétisation réal.'!E187</f>
        <v>5819425</v>
      </c>
      <c r="D24" s="678">
        <f>'A.Budgétisation réal.'!F187</f>
        <v>405000</v>
      </c>
      <c r="E24" s="678">
        <f>'A.Budgétisation réal.'!G187</f>
        <v>1200000</v>
      </c>
      <c r="F24" s="678">
        <f>'A.Budgétisation réal.'!H187</f>
        <v>50000</v>
      </c>
      <c r="G24" s="678">
        <f>'A.Budgétisation réal.'!I187</f>
        <v>348000</v>
      </c>
      <c r="H24" s="678">
        <f>'A.Budgétisation réal.'!J187</f>
        <v>0</v>
      </c>
      <c r="I24" s="679">
        <f>'A.Budgétisation réal.'!K187</f>
        <v>3816425</v>
      </c>
    </row>
    <row r="25" spans="2:9" ht="36.75" x14ac:dyDescent="0.25">
      <c r="B25" s="680" t="s">
        <v>262</v>
      </c>
      <c r="C25" s="681">
        <f>'A.Budgétisation réal.'!E188</f>
        <v>989131</v>
      </c>
      <c r="D25" s="681">
        <f>'A.Budgétisation réal.'!F188</f>
        <v>317106.51500000001</v>
      </c>
      <c r="E25" s="681">
        <f>'A.Budgétisation réal.'!G188</f>
        <v>672024.25</v>
      </c>
      <c r="F25" s="681">
        <f>'A.Budgétisation réal.'!H188</f>
        <v>0</v>
      </c>
      <c r="G25" s="681">
        <f>'A.Budgétisation réal.'!I188</f>
        <v>0</v>
      </c>
      <c r="H25" s="681">
        <f>'A.Budgétisation réal.'!J188</f>
        <v>0</v>
      </c>
      <c r="I25" s="682">
        <f>'A.Budgétisation réal.'!K188</f>
        <v>0.2349999999796637</v>
      </c>
    </row>
    <row r="26" spans="2:9" ht="36.75" x14ac:dyDescent="0.25">
      <c r="B26" s="680" t="s">
        <v>263</v>
      </c>
      <c r="C26" s="681">
        <f>'A.Budgétisation réal.'!E189</f>
        <v>10852580.4</v>
      </c>
      <c r="D26" s="681">
        <f>'A.Budgétisation réal.'!F189</f>
        <v>96145.400000000009</v>
      </c>
      <c r="E26" s="681">
        <f>'A.Budgétisation réal.'!G189</f>
        <v>450000</v>
      </c>
      <c r="F26" s="681">
        <f>'A.Budgétisation réal.'!H189</f>
        <v>0</v>
      </c>
      <c r="G26" s="681">
        <f>'A.Budgétisation réal.'!I189</f>
        <v>372900</v>
      </c>
      <c r="H26" s="681">
        <f>'A.Budgétisation réal.'!J189</f>
        <v>0</v>
      </c>
      <c r="I26" s="682">
        <f>'A.Budgétisation réal.'!K189</f>
        <v>9933535</v>
      </c>
    </row>
    <row r="27" spans="2:9" x14ac:dyDescent="0.25">
      <c r="B27" s="680" t="s">
        <v>224</v>
      </c>
      <c r="C27" s="681">
        <f>'A.Budgétisation réal.'!E190</f>
        <v>50483328</v>
      </c>
      <c r="D27" s="681">
        <f>'A.Budgétisation réal.'!F190</f>
        <v>13699906.486199999</v>
      </c>
      <c r="E27" s="681">
        <f>'A.Budgétisation réal.'!G190</f>
        <v>1272242</v>
      </c>
      <c r="F27" s="681">
        <f>'A.Budgétisation réal.'!H190</f>
        <v>0</v>
      </c>
      <c r="G27" s="681">
        <f>'A.Budgétisation réal.'!I190</f>
        <v>17332378</v>
      </c>
      <c r="H27" s="681">
        <f>'A.Budgétisation réal.'!J190</f>
        <v>916078</v>
      </c>
      <c r="I27" s="682">
        <f>'A.Budgétisation réal.'!K190</f>
        <v>17262723.513799999</v>
      </c>
    </row>
    <row r="28" spans="2:9" x14ac:dyDescent="0.25">
      <c r="B28" s="680" t="s">
        <v>264</v>
      </c>
      <c r="C28" s="681">
        <f>'A.Budgétisation réal.'!E191</f>
        <v>8127900</v>
      </c>
      <c r="D28" s="681">
        <f>'A.Budgétisation réal.'!F191</f>
        <v>4300000</v>
      </c>
      <c r="E28" s="681">
        <f>'A.Budgétisation réal.'!G191</f>
        <v>500000</v>
      </c>
      <c r="F28" s="681">
        <f>'A.Budgétisation réal.'!H191</f>
        <v>265000</v>
      </c>
      <c r="G28" s="681">
        <f>'A.Budgétisation réal.'!I191</f>
        <v>0</v>
      </c>
      <c r="H28" s="681">
        <f>'A.Budgétisation réal.'!J191</f>
        <v>0</v>
      </c>
      <c r="I28" s="682">
        <f>'A.Budgétisation réal.'!K191</f>
        <v>3062900</v>
      </c>
    </row>
    <row r="29" spans="2:9" x14ac:dyDescent="0.25">
      <c r="B29" s="680" t="s">
        <v>265</v>
      </c>
      <c r="C29" s="681">
        <f>'A.Budgétisation réal.'!E192</f>
        <v>3372150</v>
      </c>
      <c r="D29" s="681">
        <f>'A.Budgétisation réal.'!F192</f>
        <v>0</v>
      </c>
      <c r="E29" s="681">
        <f>'A.Budgétisation réal.'!G192</f>
        <v>1300000</v>
      </c>
      <c r="F29" s="681">
        <f>'A.Budgétisation réal.'!H192</f>
        <v>0</v>
      </c>
      <c r="G29" s="681">
        <f>'A.Budgétisation réal.'!I192</f>
        <v>0</v>
      </c>
      <c r="H29" s="681">
        <f>'A.Budgétisation réal.'!J192</f>
        <v>0</v>
      </c>
      <c r="I29" s="682">
        <f>'A.Budgétisation réal.'!K192</f>
        <v>2072150</v>
      </c>
    </row>
    <row r="30" spans="2:9" ht="15.75" thickBot="1" x14ac:dyDescent="0.3">
      <c r="B30" s="683"/>
      <c r="C30" s="684">
        <f t="shared" ref="C30:I30" si="1">SUM(C24:C29)</f>
        <v>79644514.400000006</v>
      </c>
      <c r="D30" s="684">
        <f t="shared" si="1"/>
        <v>18818158.4012</v>
      </c>
      <c r="E30" s="684">
        <f t="shared" si="1"/>
        <v>5394266.25</v>
      </c>
      <c r="F30" s="684">
        <f t="shared" si="1"/>
        <v>315000</v>
      </c>
      <c r="G30" s="684">
        <f t="shared" si="1"/>
        <v>18053278</v>
      </c>
      <c r="H30" s="684">
        <f t="shared" si="1"/>
        <v>916078</v>
      </c>
      <c r="I30" s="685">
        <f t="shared" si="1"/>
        <v>36147733.748799995</v>
      </c>
    </row>
    <row r="31" spans="2:9" x14ac:dyDescent="0.25">
      <c r="C31" s="686"/>
    </row>
    <row r="33" spans="2:13" ht="15.75" thickBot="1" x14ac:dyDescent="0.3">
      <c r="B33" s="721" t="s">
        <v>266</v>
      </c>
    </row>
    <row r="34" spans="2:13" ht="15.75" thickBot="1" x14ac:dyDescent="0.3">
      <c r="B34" s="687"/>
      <c r="C34" s="824" t="s">
        <v>267</v>
      </c>
      <c r="D34" s="825"/>
      <c r="E34" s="825"/>
      <c r="F34" s="825"/>
      <c r="G34" s="825"/>
      <c r="H34" s="825"/>
      <c r="I34" s="825"/>
      <c r="J34" s="825"/>
      <c r="K34" s="826"/>
      <c r="L34" s="827" t="s">
        <v>0</v>
      </c>
    </row>
    <row r="35" spans="2:13" ht="37.35" customHeight="1" thickBot="1" x14ac:dyDescent="0.3">
      <c r="B35" s="688"/>
      <c r="C35" s="689" t="s">
        <v>268</v>
      </c>
      <c r="D35" s="689" t="s">
        <v>269</v>
      </c>
      <c r="E35" s="689" t="s">
        <v>270</v>
      </c>
      <c r="F35" s="689" t="s">
        <v>271</v>
      </c>
      <c r="G35" s="689" t="s">
        <v>272</v>
      </c>
      <c r="H35" s="689" t="s">
        <v>273</v>
      </c>
      <c r="I35" s="689" t="s">
        <v>274</v>
      </c>
      <c r="J35" s="689" t="s">
        <v>275</v>
      </c>
      <c r="K35" s="689" t="s">
        <v>276</v>
      </c>
      <c r="L35" s="828"/>
    </row>
    <row r="36" spans="2:13" ht="24.75" x14ac:dyDescent="0.25">
      <c r="B36" s="691" t="s">
        <v>261</v>
      </c>
      <c r="C36" s="690">
        <f>'Fonction publique et GRH'!J44</f>
        <v>0</v>
      </c>
      <c r="D36" s="690">
        <f>'Fonction publique et GRH'!S44</f>
        <v>267375</v>
      </c>
      <c r="E36" s="690">
        <f>'Fonction publique et GRH'!V44+'Fonction publique et GRH'!Y44</f>
        <v>4035050</v>
      </c>
      <c r="F36" s="690">
        <f>'Fonction publique et GRH'!AB44</f>
        <v>20000</v>
      </c>
      <c r="G36" s="690">
        <f>'Fonction publique et GRH'!AC44</f>
        <v>0</v>
      </c>
      <c r="H36" s="690">
        <f>'Fonction publique et GRH'!AD44</f>
        <v>613000</v>
      </c>
      <c r="I36" s="690">
        <f>'Fonction publique et GRH'!AG44</f>
        <v>200000</v>
      </c>
      <c r="J36" s="690">
        <f>'Fonction publique et GRH'!AJ44</f>
        <v>0</v>
      </c>
      <c r="K36" s="690">
        <f>'Fonction publique et GRH'!AK44</f>
        <v>684000</v>
      </c>
      <c r="L36" s="718">
        <f t="shared" ref="L36:L41" si="2">SUM(C36:K36)</f>
        <v>5819425</v>
      </c>
      <c r="M36" s="674">
        <f>L36-C24</f>
        <v>0</v>
      </c>
    </row>
    <row r="37" spans="2:13" ht="36.75" x14ac:dyDescent="0.25">
      <c r="B37" s="691" t="s">
        <v>262</v>
      </c>
      <c r="C37" s="692">
        <f>EAAP!K45</f>
        <v>72000</v>
      </c>
      <c r="D37" s="692">
        <f>EAAP!T45</f>
        <v>501435</v>
      </c>
      <c r="E37" s="692">
        <f>EAAP!W45+EAAP!Z45</f>
        <v>140217</v>
      </c>
      <c r="F37" s="692">
        <f>EAAP!AC45</f>
        <v>4000</v>
      </c>
      <c r="G37" s="692">
        <f>EAAP!AD45</f>
        <v>70000</v>
      </c>
      <c r="H37" s="692">
        <f>EAAP!AE45</f>
        <v>70000</v>
      </c>
      <c r="I37" s="692">
        <f>EAAP!AH45</f>
        <v>39000</v>
      </c>
      <c r="J37" s="692">
        <f>EAAP!AK45</f>
        <v>16000</v>
      </c>
      <c r="K37" s="692">
        <f>EAAP!AL45</f>
        <v>76479</v>
      </c>
      <c r="L37" s="719">
        <f t="shared" si="2"/>
        <v>989131</v>
      </c>
      <c r="M37" s="674">
        <f t="shared" ref="M37:M42" si="3">L37-C25</f>
        <v>0</v>
      </c>
    </row>
    <row r="38" spans="2:13" ht="36.75" x14ac:dyDescent="0.25">
      <c r="B38" s="691" t="s">
        <v>263</v>
      </c>
      <c r="C38" s="692">
        <f>'Politiques&amp;Suivi&amp;Législation'!L88</f>
        <v>259200</v>
      </c>
      <c r="D38" s="692">
        <f>'Politiques&amp;Suivi&amp;Législation'!U88</f>
        <v>883515</v>
      </c>
      <c r="E38" s="692">
        <f>'Politiques&amp;Suivi&amp;Législation'!X88+'Politiques&amp;Suivi&amp;Législation'!AA88</f>
        <v>9077468.2571428567</v>
      </c>
      <c r="F38" s="692">
        <f>'Politiques&amp;Suivi&amp;Législation'!AD88</f>
        <v>179500</v>
      </c>
      <c r="G38" s="692">
        <f>'Politiques&amp;Suivi&amp;Législation'!AE88</f>
        <v>0</v>
      </c>
      <c r="H38" s="692">
        <f>'Politiques&amp;Suivi&amp;Législation'!AF88</f>
        <v>250000</v>
      </c>
      <c r="I38" s="692">
        <f>'Politiques&amp;Suivi&amp;Législation'!AI88</f>
        <v>0</v>
      </c>
      <c r="J38" s="692">
        <f>'Politiques&amp;Suivi&amp;Législation'!AL88</f>
        <v>0</v>
      </c>
      <c r="K38" s="692">
        <f>'Politiques&amp;Suivi&amp;Législation'!AM88</f>
        <v>202897.14285714284</v>
      </c>
      <c r="L38" s="719">
        <f t="shared" si="2"/>
        <v>10852580.4</v>
      </c>
      <c r="M38" s="674">
        <f t="shared" si="3"/>
        <v>0</v>
      </c>
    </row>
    <row r="39" spans="2:13" x14ac:dyDescent="0.25">
      <c r="B39" s="691" t="s">
        <v>224</v>
      </c>
      <c r="C39" s="692">
        <f>Innovation!K36</f>
        <v>3435720</v>
      </c>
      <c r="D39" s="692">
        <f>Innovation!T36</f>
        <v>200256</v>
      </c>
      <c r="E39" s="692">
        <f>Innovation!Z36+Innovation!W36</f>
        <v>10534246</v>
      </c>
      <c r="F39" s="692">
        <f>Innovation!AC36</f>
        <v>386728</v>
      </c>
      <c r="G39" s="692">
        <f>Innovation!AD36</f>
        <v>18282740</v>
      </c>
      <c r="H39" s="692">
        <f>Innovation!AE36</f>
        <v>8628015</v>
      </c>
      <c r="I39" s="692">
        <f>Innovation!AH36</f>
        <v>5172639</v>
      </c>
      <c r="J39" s="692">
        <f>Innovation!AK36</f>
        <v>50640</v>
      </c>
      <c r="K39" s="692">
        <f>Innovation!AL36</f>
        <v>3792344</v>
      </c>
      <c r="L39" s="719">
        <f t="shared" si="2"/>
        <v>50483328</v>
      </c>
      <c r="M39" s="674">
        <f t="shared" si="3"/>
        <v>0</v>
      </c>
    </row>
    <row r="40" spans="2:13" x14ac:dyDescent="0.25">
      <c r="B40" s="691" t="s">
        <v>264</v>
      </c>
      <c r="C40" s="692">
        <f>'Décentralisation '!J16</f>
        <v>0</v>
      </c>
      <c r="D40" s="692">
        <f>'Décentralisation '!S16</f>
        <v>238250</v>
      </c>
      <c r="E40" s="692">
        <f>'Décentralisation '!V16+'Décentralisation '!Y16</f>
        <v>612650</v>
      </c>
      <c r="F40" s="692">
        <f>'Décentralisation '!AB16</f>
        <v>0</v>
      </c>
      <c r="G40" s="692">
        <f>'Décentralisation '!AC16</f>
        <v>4830000</v>
      </c>
      <c r="H40" s="692">
        <f>'Décentralisation '!AD16</f>
        <v>1542000</v>
      </c>
      <c r="I40" s="692">
        <f>'Décentralisation '!AG16</f>
        <v>905000</v>
      </c>
      <c r="J40" s="692">
        <f>'Décentralisation '!AJ16</f>
        <v>0</v>
      </c>
      <c r="K40" s="692">
        <f>'Décentralisation '!AK16</f>
        <v>0</v>
      </c>
      <c r="L40" s="719">
        <f t="shared" si="2"/>
        <v>8127900</v>
      </c>
      <c r="M40" s="674">
        <f t="shared" si="3"/>
        <v>0</v>
      </c>
    </row>
    <row r="41" spans="2:13" x14ac:dyDescent="0.25">
      <c r="B41" s="691" t="s">
        <v>278</v>
      </c>
      <c r="C41" s="692">
        <f>'Transparence &amp; Anti-corruption '!J26</f>
        <v>0</v>
      </c>
      <c r="D41" s="692">
        <f>'Transparence &amp; Anti-corruption '!S26</f>
        <v>4450</v>
      </c>
      <c r="E41" s="692">
        <f>'Transparence &amp; Anti-corruption '!V26+'Transparence &amp; Anti-corruption '!Y26</f>
        <v>485750</v>
      </c>
      <c r="F41" s="692">
        <f>'Transparence &amp; Anti-corruption '!AB26</f>
        <v>0</v>
      </c>
      <c r="G41" s="692">
        <f>'Transparence &amp; Anti-corruption '!AC26</f>
        <v>0</v>
      </c>
      <c r="H41" s="692">
        <f>'Transparence &amp; Anti-corruption '!AD26</f>
        <v>674000</v>
      </c>
      <c r="I41" s="692">
        <f>'Transparence &amp; Anti-corruption '!AG26</f>
        <v>200000</v>
      </c>
      <c r="J41" s="692">
        <f>'Transparence &amp; Anti-corruption '!AJ26</f>
        <v>0</v>
      </c>
      <c r="K41" s="692">
        <f>'Transparence &amp; Anti-corruption '!AK26</f>
        <v>2007950</v>
      </c>
      <c r="L41" s="719">
        <f t="shared" si="2"/>
        <v>3372150</v>
      </c>
      <c r="M41" s="674">
        <f t="shared" si="3"/>
        <v>0</v>
      </c>
    </row>
    <row r="42" spans="2:13" ht="15.75" thickBot="1" x14ac:dyDescent="0.3">
      <c r="B42" s="693"/>
      <c r="C42" s="694">
        <f t="shared" ref="C42:L42" si="4">SUM(C36:C41)</f>
        <v>3766920</v>
      </c>
      <c r="D42" s="694">
        <f t="shared" si="4"/>
        <v>2095281</v>
      </c>
      <c r="E42" s="694">
        <f t="shared" si="4"/>
        <v>24885381.257142857</v>
      </c>
      <c r="F42" s="694">
        <f t="shared" si="4"/>
        <v>590228</v>
      </c>
      <c r="G42" s="694">
        <f t="shared" si="4"/>
        <v>23182740</v>
      </c>
      <c r="H42" s="694">
        <f t="shared" si="4"/>
        <v>11777015</v>
      </c>
      <c r="I42" s="694">
        <f t="shared" si="4"/>
        <v>6516639</v>
      </c>
      <c r="J42" s="694">
        <f t="shared" si="4"/>
        <v>66640</v>
      </c>
      <c r="K42" s="694">
        <f t="shared" si="4"/>
        <v>6763670.1428571427</v>
      </c>
      <c r="L42" s="720">
        <f t="shared" si="4"/>
        <v>79644514.400000006</v>
      </c>
      <c r="M42" s="674">
        <f t="shared" si="3"/>
        <v>0</v>
      </c>
    </row>
    <row r="43" spans="2:13" ht="15.75" thickBot="1" x14ac:dyDescent="0.3">
      <c r="B43" s="824" t="s">
        <v>277</v>
      </c>
      <c r="C43" s="825"/>
      <c r="D43" s="825"/>
      <c r="E43" s="825"/>
      <c r="F43" s="825"/>
      <c r="G43" s="825"/>
      <c r="H43" s="825"/>
      <c r="I43" s="825"/>
      <c r="J43" s="825"/>
      <c r="K43" s="825"/>
      <c r="L43" s="826"/>
      <c r="M43" s="674"/>
    </row>
    <row r="44" spans="2:13" ht="24.75" x14ac:dyDescent="0.25">
      <c r="B44" s="691" t="s">
        <v>261</v>
      </c>
      <c r="C44" s="695">
        <f>C36/$L$36</f>
        <v>0</v>
      </c>
      <c r="D44" s="695">
        <f t="shared" ref="D44:K44" si="5">D36/$L$36</f>
        <v>4.5945260914952935E-2</v>
      </c>
      <c r="E44" s="695">
        <f t="shared" si="5"/>
        <v>0.69337606378637062</v>
      </c>
      <c r="F44" s="695">
        <f t="shared" si="5"/>
        <v>3.4367656598375271E-3</v>
      </c>
      <c r="G44" s="695">
        <f t="shared" si="5"/>
        <v>0</v>
      </c>
      <c r="H44" s="695">
        <f t="shared" si="5"/>
        <v>0.1053368674740202</v>
      </c>
      <c r="I44" s="695">
        <f t="shared" si="5"/>
        <v>3.4367656598375269E-2</v>
      </c>
      <c r="J44" s="695">
        <f t="shared" si="5"/>
        <v>0</v>
      </c>
      <c r="K44" s="695">
        <f t="shared" si="5"/>
        <v>0.11753738556644341</v>
      </c>
      <c r="L44" s="718">
        <f t="shared" ref="L44:L49" si="6">SUM(C44:K44)</f>
        <v>0.99999999999999989</v>
      </c>
    </row>
    <row r="45" spans="2:13" ht="36.75" x14ac:dyDescent="0.25">
      <c r="B45" s="691" t="s">
        <v>262</v>
      </c>
      <c r="C45" s="696">
        <f>C37/$L$37</f>
        <v>7.2791167196256112E-2</v>
      </c>
      <c r="D45" s="696">
        <f t="shared" ref="D45:K45" si="7">D37/$L$37</f>
        <v>0.50694498504242613</v>
      </c>
      <c r="E45" s="696">
        <f t="shared" si="7"/>
        <v>0.14175776514940894</v>
      </c>
      <c r="F45" s="696">
        <f t="shared" si="7"/>
        <v>4.0439537331253394E-3</v>
      </c>
      <c r="G45" s="696">
        <f t="shared" si="7"/>
        <v>7.0769190329693435E-2</v>
      </c>
      <c r="H45" s="696">
        <f t="shared" si="7"/>
        <v>7.0769190329693435E-2</v>
      </c>
      <c r="I45" s="696">
        <f t="shared" si="7"/>
        <v>3.9428548897972059E-2</v>
      </c>
      <c r="J45" s="696">
        <f t="shared" si="7"/>
        <v>1.6175814932501358E-2</v>
      </c>
      <c r="K45" s="696">
        <f t="shared" si="7"/>
        <v>7.7319384388923204E-2</v>
      </c>
      <c r="L45" s="719">
        <f t="shared" si="6"/>
        <v>1</v>
      </c>
    </row>
    <row r="46" spans="2:13" ht="36.75" x14ac:dyDescent="0.25">
      <c r="B46" s="691" t="s">
        <v>263</v>
      </c>
      <c r="C46" s="696">
        <f>C38/$L$38</f>
        <v>2.3883720778516415E-2</v>
      </c>
      <c r="D46" s="696">
        <f t="shared" ref="D46:K46" si="8">D38/$L$38</f>
        <v>8.1410592452279829E-2</v>
      </c>
      <c r="E46" s="696">
        <f t="shared" si="8"/>
        <v>0.83643409424940607</v>
      </c>
      <c r="F46" s="696">
        <f t="shared" si="8"/>
        <v>1.6539845215060557E-2</v>
      </c>
      <c r="G46" s="696">
        <f t="shared" si="8"/>
        <v>0</v>
      </c>
      <c r="H46" s="696">
        <f t="shared" si="8"/>
        <v>2.303599612125426E-2</v>
      </c>
      <c r="I46" s="696">
        <f t="shared" si="8"/>
        <v>0</v>
      </c>
      <c r="J46" s="696">
        <f t="shared" si="8"/>
        <v>0</v>
      </c>
      <c r="K46" s="696">
        <f t="shared" si="8"/>
        <v>1.8695751183482854E-2</v>
      </c>
      <c r="L46" s="719">
        <f t="shared" si="6"/>
        <v>1</v>
      </c>
    </row>
    <row r="47" spans="2:13" x14ac:dyDescent="0.25">
      <c r="B47" s="691" t="s">
        <v>224</v>
      </c>
      <c r="C47" s="696">
        <f>C39/$L$39</f>
        <v>6.8056527493591548E-2</v>
      </c>
      <c r="D47" s="696">
        <f t="shared" ref="D47:K47" si="9">D39/$L$39</f>
        <v>3.9667749321122409E-3</v>
      </c>
      <c r="E47" s="696">
        <f t="shared" si="9"/>
        <v>0.20866781999792089</v>
      </c>
      <c r="F47" s="696">
        <f t="shared" si="9"/>
        <v>7.6605092279177795E-3</v>
      </c>
      <c r="G47" s="696">
        <f t="shared" si="9"/>
        <v>0.36215401647054646</v>
      </c>
      <c r="H47" s="696">
        <f t="shared" si="9"/>
        <v>0.17090820557630432</v>
      </c>
      <c r="I47" s="696">
        <f t="shared" si="9"/>
        <v>0.1024623218184031</v>
      </c>
      <c r="J47" s="696">
        <f t="shared" si="9"/>
        <v>1.0031034404070984E-3</v>
      </c>
      <c r="K47" s="696">
        <f t="shared" si="9"/>
        <v>7.5120721042796545E-2</v>
      </c>
      <c r="L47" s="719">
        <f t="shared" si="6"/>
        <v>1</v>
      </c>
    </row>
    <row r="48" spans="2:13" x14ac:dyDescent="0.25">
      <c r="B48" s="691" t="s">
        <v>264</v>
      </c>
      <c r="C48" s="696">
        <f>C40/$L$40</f>
        <v>0</v>
      </c>
      <c r="D48" s="696">
        <f t="shared" ref="D48:K48" si="10">D40/$L$40</f>
        <v>2.9312614574490335E-2</v>
      </c>
      <c r="E48" s="696">
        <f t="shared" si="10"/>
        <v>7.5376173427330551E-2</v>
      </c>
      <c r="F48" s="696">
        <f t="shared" si="10"/>
        <v>0</v>
      </c>
      <c r="G48" s="696">
        <f t="shared" si="10"/>
        <v>0.59424943712398037</v>
      </c>
      <c r="H48" s="696">
        <f t="shared" si="10"/>
        <v>0.18971690104455025</v>
      </c>
      <c r="I48" s="696">
        <f t="shared" si="10"/>
        <v>0.1113448738296485</v>
      </c>
      <c r="J48" s="696">
        <f t="shared" si="10"/>
        <v>0</v>
      </c>
      <c r="K48" s="696">
        <f t="shared" si="10"/>
        <v>0</v>
      </c>
      <c r="L48" s="719">
        <f t="shared" si="6"/>
        <v>1</v>
      </c>
    </row>
    <row r="49" spans="2:12" x14ac:dyDescent="0.25">
      <c r="B49" s="691" t="s">
        <v>278</v>
      </c>
      <c r="C49" s="696">
        <f>C41/$L$41</f>
        <v>0</v>
      </c>
      <c r="D49" s="696">
        <f t="shared" ref="D49:K49" si="11">D41/$L$41</f>
        <v>1.3196328751686609E-3</v>
      </c>
      <c r="E49" s="696">
        <f t="shared" si="11"/>
        <v>0.14404756609284877</v>
      </c>
      <c r="F49" s="696">
        <f t="shared" si="11"/>
        <v>0</v>
      </c>
      <c r="G49" s="696">
        <f t="shared" si="11"/>
        <v>0</v>
      </c>
      <c r="H49" s="696">
        <f t="shared" si="11"/>
        <v>0.19987248491318596</v>
      </c>
      <c r="I49" s="696">
        <f t="shared" si="11"/>
        <v>5.9309342704209483E-2</v>
      </c>
      <c r="J49" s="696">
        <f t="shared" si="11"/>
        <v>0</v>
      </c>
      <c r="K49" s="696">
        <f t="shared" si="11"/>
        <v>0.59545097341458708</v>
      </c>
      <c r="L49" s="719">
        <f t="shared" si="6"/>
        <v>1</v>
      </c>
    </row>
    <row r="50" spans="2:12" x14ac:dyDescent="0.25">
      <c r="B50" s="697"/>
      <c r="C50" s="692">
        <f t="shared" ref="C50:L50" si="12">SUM(C44:C49)</f>
        <v>0.16473141546836406</v>
      </c>
      <c r="D50" s="692">
        <f t="shared" si="12"/>
        <v>0.66889986079143016</v>
      </c>
      <c r="E50" s="692">
        <f t="shared" si="12"/>
        <v>2.0996594827032857</v>
      </c>
      <c r="F50" s="692">
        <f t="shared" si="12"/>
        <v>3.1681073835941202E-2</v>
      </c>
      <c r="G50" s="692">
        <f t="shared" si="12"/>
        <v>1.0271726439242204</v>
      </c>
      <c r="H50" s="692">
        <f t="shared" si="12"/>
        <v>0.75963964545900853</v>
      </c>
      <c r="I50" s="692">
        <f t="shared" si="12"/>
        <v>0.34691274384860848</v>
      </c>
      <c r="J50" s="692">
        <f t="shared" si="12"/>
        <v>1.7178918372908455E-2</v>
      </c>
      <c r="K50" s="692">
        <f t="shared" si="12"/>
        <v>0.88412421559623311</v>
      </c>
      <c r="L50" s="719">
        <f t="shared" si="12"/>
        <v>6</v>
      </c>
    </row>
    <row r="52" spans="2:12" ht="15.75" thickBot="1" x14ac:dyDescent="0.3">
      <c r="B52" s="675" t="s">
        <v>280</v>
      </c>
    </row>
    <row r="53" spans="2:12" ht="15.75" thickBot="1" x14ac:dyDescent="0.3">
      <c r="B53" s="707"/>
      <c r="C53" s="725" t="s">
        <v>0</v>
      </c>
    </row>
    <row r="54" spans="2:12" x14ac:dyDescent="0.25">
      <c r="B54" s="702" t="s">
        <v>253</v>
      </c>
      <c r="C54" s="724">
        <f>D30</f>
        <v>18818158.4012</v>
      </c>
    </row>
    <row r="55" spans="2:12" x14ac:dyDescent="0.25">
      <c r="B55" s="699" t="s">
        <v>254</v>
      </c>
      <c r="C55" s="722">
        <f>E30</f>
        <v>5394266.25</v>
      </c>
    </row>
    <row r="56" spans="2:12" x14ac:dyDescent="0.25">
      <c r="B56" s="699" t="s">
        <v>281</v>
      </c>
      <c r="C56" s="722">
        <f>F30</f>
        <v>315000</v>
      </c>
    </row>
    <row r="57" spans="2:12" x14ac:dyDescent="0.25">
      <c r="B57" s="699" t="s">
        <v>256</v>
      </c>
      <c r="C57" s="722">
        <f>G30</f>
        <v>18053278</v>
      </c>
    </row>
    <row r="58" spans="2:12" x14ac:dyDescent="0.25">
      <c r="B58" s="699" t="str">
        <f>H23</f>
        <v>PNUD</v>
      </c>
      <c r="C58" s="722">
        <f>H30</f>
        <v>916078</v>
      </c>
    </row>
    <row r="59" spans="2:12" ht="15.75" thickBot="1" x14ac:dyDescent="0.3">
      <c r="B59" s="701" t="s">
        <v>260</v>
      </c>
      <c r="C59" s="723">
        <f>I30</f>
        <v>36147733.748799995</v>
      </c>
    </row>
  </sheetData>
  <mergeCells count="9">
    <mergeCell ref="C34:K34"/>
    <mergeCell ref="L34:L35"/>
    <mergeCell ref="B43:L43"/>
    <mergeCell ref="B5:B6"/>
    <mergeCell ref="C5:C6"/>
    <mergeCell ref="D5:I5"/>
    <mergeCell ref="B22:B23"/>
    <mergeCell ref="C22:C23"/>
    <mergeCell ref="D22:I22"/>
  </mergeCells>
  <pageMargins left="0.7" right="0.7" top="0.75" bottom="0.75" header="0.3" footer="0.3"/>
  <pageSetup paperSize="9"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01"/>
  <sheetViews>
    <sheetView tabSelected="1" topLeftCell="A176" zoomScale="120" zoomScaleNormal="120" zoomScaleSheetLayoutView="100" zoomScalePageLayoutView="70" workbookViewId="0">
      <selection activeCell="B174" sqref="B174:B175"/>
    </sheetView>
  </sheetViews>
  <sheetFormatPr defaultColWidth="9.140625" defaultRowHeight="15.75" customHeight="1" x14ac:dyDescent="0.2"/>
  <cols>
    <col min="1" max="1" width="5" style="55" customWidth="1"/>
    <col min="2" max="2" width="24.140625" style="198" customWidth="1"/>
    <col min="3" max="3" width="7.42578125" style="199" customWidth="1"/>
    <col min="4" max="4" width="35.140625" style="127" customWidth="1"/>
    <col min="5" max="5" width="16.42578125" style="127" customWidth="1"/>
    <col min="6" max="6" width="17.7109375" style="215" customWidth="1"/>
    <col min="7" max="7" width="17.140625" style="216" customWidth="1"/>
    <col min="8" max="8" width="13.85546875" style="216" bestFit="1" customWidth="1"/>
    <col min="9" max="9" width="14.7109375" style="216" customWidth="1"/>
    <col min="10" max="10" width="15" style="216" bestFit="1" customWidth="1"/>
    <col min="11" max="11" width="16.42578125" style="216" customWidth="1"/>
    <col min="12" max="12" width="16.42578125" style="217" customWidth="1"/>
    <col min="13" max="13" width="15.42578125" style="45" hidden="1" customWidth="1"/>
    <col min="14" max="14" width="17.42578125" style="45" hidden="1" customWidth="1"/>
    <col min="15" max="15" width="14.42578125" style="45" hidden="1" customWidth="1"/>
    <col min="16" max="16" width="13.85546875" style="45" hidden="1" customWidth="1"/>
    <col min="17" max="17" width="15.28515625" style="45" hidden="1" customWidth="1"/>
    <col min="18" max="18" width="14.7109375" style="45" hidden="1" customWidth="1"/>
    <col min="19" max="19" width="16.28515625" style="45" hidden="1" customWidth="1"/>
    <col min="20" max="16384" width="9.140625" style="45"/>
  </cols>
  <sheetData>
    <row r="1" spans="1:12" ht="11.25" customHeight="1" x14ac:dyDescent="0.2"/>
    <row r="2" spans="1:12" ht="31.5" customHeight="1" x14ac:dyDescent="0.2">
      <c r="A2" s="146"/>
      <c r="B2" s="887" t="s">
        <v>282</v>
      </c>
      <c r="C2" s="887"/>
      <c r="D2" s="887"/>
      <c r="E2" s="887"/>
      <c r="F2" s="887"/>
      <c r="G2" s="366"/>
      <c r="H2" s="366"/>
      <c r="I2" s="366"/>
      <c r="J2" s="366"/>
      <c r="K2" s="366"/>
      <c r="L2" s="367"/>
    </row>
    <row r="3" spans="1:12" s="147" customFormat="1" ht="15.75" customHeight="1" x14ac:dyDescent="0.15">
      <c r="A3" s="881" t="s">
        <v>283</v>
      </c>
      <c r="B3" s="881" t="s">
        <v>222</v>
      </c>
      <c r="C3" s="881" t="s">
        <v>284</v>
      </c>
      <c r="D3" s="881"/>
      <c r="E3" s="882" t="s">
        <v>285</v>
      </c>
      <c r="F3" s="888" t="s">
        <v>699</v>
      </c>
      <c r="G3" s="897" t="s">
        <v>289</v>
      </c>
      <c r="H3" s="898"/>
      <c r="I3" s="898"/>
      <c r="J3" s="898"/>
      <c r="K3" s="898"/>
      <c r="L3" s="899"/>
    </row>
    <row r="4" spans="1:12" s="148" customFormat="1" ht="15.75" customHeight="1" x14ac:dyDescent="0.15">
      <c r="A4" s="881"/>
      <c r="B4" s="881"/>
      <c r="C4" s="881"/>
      <c r="D4" s="881"/>
      <c r="E4" s="883"/>
      <c r="F4" s="888"/>
      <c r="G4" s="900"/>
      <c r="H4" s="901"/>
      <c r="I4" s="901"/>
      <c r="J4" s="901"/>
      <c r="K4" s="901"/>
      <c r="L4" s="902"/>
    </row>
    <row r="5" spans="1:12" s="148" customFormat="1" ht="8.25" customHeight="1" x14ac:dyDescent="0.15">
      <c r="A5" s="881"/>
      <c r="B5" s="881"/>
      <c r="C5" s="881"/>
      <c r="D5" s="881"/>
      <c r="E5" s="883"/>
      <c r="F5" s="888"/>
      <c r="G5" s="903"/>
      <c r="H5" s="904"/>
      <c r="I5" s="904"/>
      <c r="J5" s="904"/>
      <c r="K5" s="904"/>
      <c r="L5" s="905"/>
    </row>
    <row r="6" spans="1:12" s="148" customFormat="1" ht="21" customHeight="1" x14ac:dyDescent="0.15">
      <c r="A6" s="881"/>
      <c r="B6" s="881"/>
      <c r="C6" s="881"/>
      <c r="D6" s="881"/>
      <c r="E6" s="883"/>
      <c r="F6" s="888"/>
      <c r="G6" s="908" t="s">
        <v>286</v>
      </c>
      <c r="H6" s="672"/>
      <c r="I6" s="672"/>
      <c r="J6" s="672"/>
      <c r="K6" s="672"/>
      <c r="L6" s="880" t="s">
        <v>258</v>
      </c>
    </row>
    <row r="7" spans="1:12" s="149" customFormat="1" ht="28.5" customHeight="1" x14ac:dyDescent="0.2">
      <c r="A7" s="881"/>
      <c r="B7" s="881"/>
      <c r="C7" s="881"/>
      <c r="D7" s="881"/>
      <c r="E7" s="884"/>
      <c r="F7" s="888"/>
      <c r="G7" s="909"/>
      <c r="H7" s="673" t="s">
        <v>287</v>
      </c>
      <c r="I7" s="673" t="s">
        <v>281</v>
      </c>
      <c r="J7" s="673" t="s">
        <v>288</v>
      </c>
      <c r="K7" s="673" t="s">
        <v>257</v>
      </c>
      <c r="L7" s="880" t="s">
        <v>216</v>
      </c>
    </row>
    <row r="8" spans="1:12" s="150" customFormat="1" ht="24.75" customHeight="1" x14ac:dyDescent="0.25">
      <c r="A8" s="554">
        <v>1</v>
      </c>
      <c r="B8" s="554">
        <v>2</v>
      </c>
      <c r="C8" s="554">
        <v>3</v>
      </c>
      <c r="D8" s="554">
        <v>4</v>
      </c>
      <c r="E8" s="554"/>
      <c r="F8" s="660">
        <v>5</v>
      </c>
      <c r="G8" s="554">
        <v>6</v>
      </c>
      <c r="H8" s="660">
        <v>7</v>
      </c>
      <c r="I8" s="554">
        <v>8</v>
      </c>
      <c r="J8" s="660">
        <v>9</v>
      </c>
      <c r="K8" s="554">
        <v>10</v>
      </c>
      <c r="L8" s="660">
        <v>11</v>
      </c>
    </row>
    <row r="9" spans="1:12" s="150" customFormat="1" ht="33" customHeight="1" x14ac:dyDescent="0.25">
      <c r="A9" s="368">
        <v>1</v>
      </c>
      <c r="B9" s="906" t="s">
        <v>290</v>
      </c>
      <c r="C9" s="906"/>
      <c r="D9" s="906"/>
      <c r="E9" s="906"/>
      <c r="F9" s="906"/>
      <c r="G9" s="906"/>
      <c r="H9" s="906"/>
      <c r="I9" s="906"/>
      <c r="J9" s="906"/>
      <c r="K9" s="906"/>
      <c r="L9" s="907"/>
    </row>
    <row r="10" spans="1:12" s="148" customFormat="1" ht="30" customHeight="1" x14ac:dyDescent="0.15">
      <c r="A10" s="889">
        <v>1.1000000000000001</v>
      </c>
      <c r="B10" s="865" t="s">
        <v>616</v>
      </c>
      <c r="C10" s="406" t="s">
        <v>14</v>
      </c>
      <c r="D10" s="401" t="str">
        <f>'Politiques&amp;Suivi&amp;Législation'!F10</f>
        <v>Analyse de l'évaluation de la situation</v>
      </c>
      <c r="E10" s="553"/>
      <c r="F10" s="369">
        <f>'Politiques&amp;Suivi&amp;Législation'!AN10</f>
        <v>149500</v>
      </c>
      <c r="G10" s="369">
        <f>'Politiques&amp;Suivi&amp;Législation'!AO10</f>
        <v>0</v>
      </c>
      <c r="H10" s="369">
        <f>'Politiques&amp;Suivi&amp;Législation'!AP10</f>
        <v>0</v>
      </c>
      <c r="I10" s="369">
        <f>'Politiques&amp;Suivi&amp;Législation'!AQ10</f>
        <v>0</v>
      </c>
      <c r="J10" s="369">
        <f>'Politiques&amp;Suivi&amp;Législation'!AR10</f>
        <v>25000</v>
      </c>
      <c r="K10" s="369">
        <f>'Politiques&amp;Suivi&amp;Législation'!AS10</f>
        <v>0</v>
      </c>
      <c r="L10" s="369">
        <f>'Politiques&amp;Suivi&amp;Législation'!AT10</f>
        <v>124500</v>
      </c>
    </row>
    <row r="11" spans="1:12" s="151" customFormat="1" ht="63.75" customHeight="1" x14ac:dyDescent="0.15">
      <c r="A11" s="889"/>
      <c r="B11" s="886"/>
      <c r="C11" s="406" t="s">
        <v>27</v>
      </c>
      <c r="D11" s="401" t="str">
        <f>'Politiques&amp;Suivi&amp;Législation'!F11</f>
        <v xml:space="preserve">Révision du cadre réglementaire pour les stratégies sectorielles et transversales (Révision de l'Ordre sur la préparation des stratégies sectorielles et transversales) </v>
      </c>
      <c r="E11" s="553"/>
      <c r="F11" s="369">
        <f>'Politiques&amp;Suivi&amp;Législation'!AN11</f>
        <v>25000</v>
      </c>
      <c r="G11" s="369"/>
      <c r="H11" s="369">
        <f>'Politiques&amp;Suivi&amp;Législation'!AP11</f>
        <v>0</v>
      </c>
      <c r="I11" s="369">
        <f>'Politiques&amp;Suivi&amp;Législation'!AQ11</f>
        <v>0</v>
      </c>
      <c r="J11" s="369">
        <f>'Politiques&amp;Suivi&amp;Législation'!AR11</f>
        <v>25000</v>
      </c>
      <c r="K11" s="369">
        <f>'Politiques&amp;Suivi&amp;Législation'!AS11</f>
        <v>0</v>
      </c>
      <c r="L11" s="369">
        <f>'Politiques&amp;Suivi&amp;Législation'!AT11</f>
        <v>0</v>
      </c>
    </row>
    <row r="12" spans="1:12" s="152" customFormat="1" ht="67.5" customHeight="1" x14ac:dyDescent="0.2">
      <c r="A12" s="889"/>
      <c r="B12" s="886"/>
      <c r="C12" s="406" t="s">
        <v>28</v>
      </c>
      <c r="D12" s="401" t="str">
        <f>'Politiques&amp;Suivi&amp;Législation'!F12</f>
        <v xml:space="preserve">Révision du fonctionnement d'autres groupes transversaux dans les GPGI (groupes de politiques de gestion intégrée) (y compris tout le cycle d'élaboration des politiques - mise en oeuvre - suivi) </v>
      </c>
      <c r="E12" s="553"/>
      <c r="F12" s="369">
        <f>'Politiques&amp;Suivi&amp;Législation'!AN12</f>
        <v>1041000</v>
      </c>
      <c r="G12" s="369">
        <f>'Politiques&amp;Suivi&amp;Législation'!AO12</f>
        <v>7000</v>
      </c>
      <c r="H12" s="369">
        <f>'Politiques&amp;Suivi&amp;Législation'!AP12</f>
        <v>0</v>
      </c>
      <c r="I12" s="369">
        <f>'Politiques&amp;Suivi&amp;Législation'!AQ12</f>
        <v>0</v>
      </c>
      <c r="J12" s="369">
        <f>'Politiques&amp;Suivi&amp;Législation'!AR12</f>
        <v>0</v>
      </c>
      <c r="K12" s="369">
        <f>'Politiques&amp;Suivi&amp;Législation'!AS12</f>
        <v>0</v>
      </c>
      <c r="L12" s="369">
        <f>'Politiques&amp;Suivi&amp;Législation'!AT12</f>
        <v>1034000</v>
      </c>
    </row>
    <row r="13" spans="1:12" s="153" customFormat="1" ht="25.5" x14ac:dyDescent="0.2">
      <c r="A13" s="889"/>
      <c r="B13" s="886"/>
      <c r="C13" s="406" t="s">
        <v>29</v>
      </c>
      <c r="D13" s="401" t="str">
        <f>'Politiques&amp;Suivi&amp;Législation'!F13</f>
        <v>Assistance au fonctionnement du projet pilote de GPGI (eau, social, compétitivité)</v>
      </c>
      <c r="E13" s="553"/>
      <c r="F13" s="369">
        <f>'Politiques&amp;Suivi&amp;Législation'!AN13</f>
        <v>450000</v>
      </c>
      <c r="G13" s="369">
        <f>'Politiques&amp;Suivi&amp;Législation'!AO13</f>
        <v>0</v>
      </c>
      <c r="H13" s="369">
        <f>'Politiques&amp;Suivi&amp;Législation'!AP13</f>
        <v>450000</v>
      </c>
      <c r="I13" s="369">
        <f>'Politiques&amp;Suivi&amp;Législation'!AQ13</f>
        <v>0</v>
      </c>
      <c r="J13" s="369">
        <f>'Politiques&amp;Suivi&amp;Législation'!AR13</f>
        <v>0</v>
      </c>
      <c r="K13" s="369">
        <f>'Politiques&amp;Suivi&amp;Législation'!AS13</f>
        <v>0</v>
      </c>
      <c r="L13" s="369">
        <f>'Politiques&amp;Suivi&amp;Législation'!AT13</f>
        <v>0</v>
      </c>
    </row>
    <row r="14" spans="1:12" s="153" customFormat="1" ht="35.25" customHeight="1" x14ac:dyDescent="0.2">
      <c r="A14" s="889"/>
      <c r="B14" s="886"/>
      <c r="C14" s="406" t="s">
        <v>31</v>
      </c>
      <c r="D14" s="401" t="str">
        <f>'Politiques&amp;Suivi&amp;Législation'!F14</f>
        <v>Assistance au fonctionnement des autres GPGI</v>
      </c>
      <c r="E14" s="553"/>
      <c r="F14" s="369">
        <f>'Politiques&amp;Suivi&amp;Législation'!AN14</f>
        <v>1656375</v>
      </c>
      <c r="G14" s="369">
        <f>'Politiques&amp;Suivi&amp;Législation'!AO14</f>
        <v>0</v>
      </c>
      <c r="H14" s="369">
        <f>'Politiques&amp;Suivi&amp;Législation'!AP14</f>
        <v>0</v>
      </c>
      <c r="I14" s="369">
        <f>'Politiques&amp;Suivi&amp;Législation'!AQ14</f>
        <v>0</v>
      </c>
      <c r="J14" s="369">
        <f>'Politiques&amp;Suivi&amp;Législation'!AR14</f>
        <v>0</v>
      </c>
      <c r="K14" s="369">
        <f>'Politiques&amp;Suivi&amp;Législation'!AS14</f>
        <v>0</v>
      </c>
      <c r="L14" s="369">
        <f>'Politiques&amp;Suivi&amp;Législation'!AT14</f>
        <v>1656375</v>
      </c>
    </row>
    <row r="15" spans="1:12" ht="66.75" customHeight="1" x14ac:dyDescent="0.2">
      <c r="A15" s="889"/>
      <c r="B15" s="886"/>
      <c r="C15" s="406" t="s">
        <v>107</v>
      </c>
      <c r="D15" s="401" t="str">
        <f>'Politiques&amp;Suivi&amp;Législation'!F15</f>
        <v xml:space="preserve">Préparation d'un programme de formation pour l'ensemble du personnel responsable de l'élaboration des politiques dans les ministères sectoriels (départements d'élaboration et de coordination des politiques), pour la rédaction des documents et politiques stratégiques. </v>
      </c>
      <c r="E15" s="553"/>
      <c r="F15" s="369">
        <f>'Politiques&amp;Suivi&amp;Législation'!AN15</f>
        <v>42000</v>
      </c>
      <c r="G15" s="369">
        <f>'Politiques&amp;Suivi&amp;Législation'!AO15</f>
        <v>1000</v>
      </c>
      <c r="H15" s="369">
        <f>'Politiques&amp;Suivi&amp;Législation'!AP15</f>
        <v>0</v>
      </c>
      <c r="I15" s="369">
        <f>'Politiques&amp;Suivi&amp;Législation'!AQ15</f>
        <v>0</v>
      </c>
      <c r="J15" s="369">
        <f>'Politiques&amp;Suivi&amp;Législation'!AR15</f>
        <v>0</v>
      </c>
      <c r="K15" s="369">
        <f>'Politiques&amp;Suivi&amp;Législation'!AS15</f>
        <v>0</v>
      </c>
      <c r="L15" s="369">
        <f>'Politiques&amp;Suivi&amp;Législation'!AT15</f>
        <v>41000</v>
      </c>
    </row>
    <row r="16" spans="1:12" ht="56.25" customHeight="1" x14ac:dyDescent="0.2">
      <c r="A16" s="889"/>
      <c r="B16" s="886"/>
      <c r="C16" s="406" t="s">
        <v>108</v>
      </c>
      <c r="D16" s="401" t="str">
        <f>'Politiques&amp;Suivi&amp;Législation'!F16</f>
        <v xml:space="preserve">Mise en œuvre du programme de formation pour tout le personnel responsable de l'élaboration des politiques dans les ministères sectoriels (départements d'élaboration et de coordination des politiques) </v>
      </c>
      <c r="E16" s="553"/>
      <c r="F16" s="369">
        <f>'Politiques&amp;Suivi&amp;Législation'!AN16</f>
        <v>109700</v>
      </c>
      <c r="G16" s="369">
        <f>'Politiques&amp;Suivi&amp;Législation'!AO16</f>
        <v>0</v>
      </c>
      <c r="H16" s="369">
        <f>'Politiques&amp;Suivi&amp;Législation'!AP16</f>
        <v>0</v>
      </c>
      <c r="I16" s="369">
        <f>'Politiques&amp;Suivi&amp;Législation'!AQ16</f>
        <v>0</v>
      </c>
      <c r="J16" s="369">
        <f>'Politiques&amp;Suivi&amp;Législation'!AR16</f>
        <v>0</v>
      </c>
      <c r="K16" s="369">
        <f>'Politiques&amp;Suivi&amp;Législation'!AS16</f>
        <v>0</v>
      </c>
      <c r="L16" s="369">
        <f>'Politiques&amp;Suivi&amp;Législation'!AT16</f>
        <v>109700</v>
      </c>
    </row>
    <row r="17" spans="1:12" ht="31.5" customHeight="1" x14ac:dyDescent="0.2">
      <c r="A17" s="889"/>
      <c r="B17" s="886"/>
      <c r="C17" s="406" t="s">
        <v>109</v>
      </c>
      <c r="D17" s="401" t="str">
        <f>'Politiques&amp;Suivi&amp;Législation'!F17</f>
        <v xml:space="preserve">Préparation de stratégies et documents transversaux </v>
      </c>
      <c r="E17" s="553"/>
      <c r="F17" s="369">
        <f>'Politiques&amp;Suivi&amp;Législation'!AN17</f>
        <v>1662500</v>
      </c>
      <c r="G17" s="369">
        <f>'Politiques&amp;Suivi&amp;Législation'!AO17</f>
        <v>0</v>
      </c>
      <c r="H17" s="369">
        <f>'Politiques&amp;Suivi&amp;Législation'!AP17</f>
        <v>0</v>
      </c>
      <c r="I17" s="369">
        <f>'Politiques&amp;Suivi&amp;Législation'!AQ17</f>
        <v>0</v>
      </c>
      <c r="J17" s="369">
        <f>'Politiques&amp;Suivi&amp;Législation'!AR17</f>
        <v>0</v>
      </c>
      <c r="K17" s="369">
        <f>'Politiques&amp;Suivi&amp;Législation'!AS17</f>
        <v>0</v>
      </c>
      <c r="L17" s="369">
        <f>'Politiques&amp;Suivi&amp;Législation'!AT17</f>
        <v>1662500</v>
      </c>
    </row>
    <row r="18" spans="1:12" ht="25.5" x14ac:dyDescent="0.2">
      <c r="A18" s="889"/>
      <c r="B18" s="886"/>
      <c r="C18" s="406" t="s">
        <v>110</v>
      </c>
      <c r="D18" s="401" t="str">
        <f>'Politiques&amp;Suivi&amp;Législation'!F18</f>
        <v xml:space="preserve">Préparation des Plans de gestion intégrée (PGI) des ministères sectoriels </v>
      </c>
      <c r="E18" s="553"/>
      <c r="F18" s="369">
        <f>'Politiques&amp;Suivi&amp;Législation'!AN18</f>
        <v>332500</v>
      </c>
      <c r="G18" s="369">
        <f>'Politiques&amp;Suivi&amp;Législation'!AO18</f>
        <v>0</v>
      </c>
      <c r="H18" s="369">
        <f>'Politiques&amp;Suivi&amp;Législation'!AP18</f>
        <v>0</v>
      </c>
      <c r="I18" s="369">
        <f>'Politiques&amp;Suivi&amp;Législation'!AQ18</f>
        <v>0</v>
      </c>
      <c r="J18" s="369">
        <f>'Politiques&amp;Suivi&amp;Législation'!AR18</f>
        <v>0</v>
      </c>
      <c r="K18" s="369">
        <f>'Politiques&amp;Suivi&amp;Législation'!AS18</f>
        <v>0</v>
      </c>
      <c r="L18" s="369">
        <f>'Politiques&amp;Suivi&amp;Législation'!AT18</f>
        <v>332500</v>
      </c>
    </row>
    <row r="19" spans="1:12" ht="30" customHeight="1" x14ac:dyDescent="0.2">
      <c r="A19" s="889"/>
      <c r="B19" s="886"/>
      <c r="C19" s="406" t="s">
        <v>111</v>
      </c>
      <c r="D19" s="401" t="str">
        <f>'Politiques&amp;Suivi&amp;Législation'!F19</f>
        <v>Publication des PGI</v>
      </c>
      <c r="E19" s="553"/>
      <c r="F19" s="369">
        <f>'Politiques&amp;Suivi&amp;Législation'!AN19</f>
        <v>28500</v>
      </c>
      <c r="G19" s="369">
        <f>'Politiques&amp;Suivi&amp;Législation'!AO19</f>
        <v>0</v>
      </c>
      <c r="H19" s="369">
        <f>'Politiques&amp;Suivi&amp;Législation'!AP19</f>
        <v>0</v>
      </c>
      <c r="I19" s="369">
        <f>'Politiques&amp;Suivi&amp;Législation'!AQ19</f>
        <v>0</v>
      </c>
      <c r="J19" s="369">
        <f>'Politiques&amp;Suivi&amp;Législation'!AR19</f>
        <v>0</v>
      </c>
      <c r="K19" s="369">
        <f>'Politiques&amp;Suivi&amp;Législation'!AS19</f>
        <v>0</v>
      </c>
      <c r="L19" s="369">
        <f>'Politiques&amp;Suivi&amp;Législation'!AT19</f>
        <v>28500</v>
      </c>
    </row>
    <row r="20" spans="1:12" ht="30.75" customHeight="1" x14ac:dyDescent="0.2">
      <c r="A20" s="370"/>
      <c r="B20" s="405"/>
      <c r="C20" s="406" t="s">
        <v>115</v>
      </c>
      <c r="D20" s="401" t="str">
        <f>'Politiques&amp;Suivi&amp;Législation'!F23</f>
        <v>Analyse de l'évaluation de la situation</v>
      </c>
      <c r="E20" s="553"/>
      <c r="F20" s="369">
        <f>'Politiques&amp;Suivi&amp;Législation'!AN23</f>
        <v>61500</v>
      </c>
      <c r="G20" s="369">
        <f>'Politiques&amp;Suivi&amp;Législation'!AO23</f>
        <v>0</v>
      </c>
      <c r="H20" s="369">
        <f>'Politiques&amp;Suivi&amp;Législation'!AP23</f>
        <v>0</v>
      </c>
      <c r="I20" s="369">
        <f>'Politiques&amp;Suivi&amp;Législation'!AQ23</f>
        <v>0</v>
      </c>
      <c r="J20" s="369">
        <f>'Politiques&amp;Suivi&amp;Législation'!AR23</f>
        <v>0</v>
      </c>
      <c r="K20" s="369">
        <f>'Politiques&amp;Suivi&amp;Législation'!AS23</f>
        <v>0</v>
      </c>
      <c r="L20" s="369">
        <f>'Politiques&amp;Suivi&amp;Législation'!AT23</f>
        <v>61500</v>
      </c>
    </row>
    <row r="21" spans="1:12" ht="38.25" x14ac:dyDescent="0.2">
      <c r="A21" s="370"/>
      <c r="B21" s="405"/>
      <c r="C21" s="406" t="s">
        <v>116</v>
      </c>
      <c r="D21" s="401" t="str">
        <f>'Politiques&amp;Suivi&amp;Législation'!F24</f>
        <v xml:space="preserve">Examen du cadre institutionnel et légal pertinent (rédaction d'un nouvel Ordre, Manuel de SPI, et examen du calendrier annuel du SPI) </v>
      </c>
      <c r="E21" s="553"/>
      <c r="F21" s="369">
        <f>'Politiques&amp;Suivi&amp;Législation'!AN24</f>
        <v>49000</v>
      </c>
      <c r="G21" s="369">
        <f>'Politiques&amp;Suivi&amp;Législation'!AO24</f>
        <v>0</v>
      </c>
      <c r="H21" s="369">
        <f>'Politiques&amp;Suivi&amp;Législation'!AP24</f>
        <v>0</v>
      </c>
      <c r="I21" s="369">
        <f>'Politiques&amp;Suivi&amp;Législation'!AQ24</f>
        <v>0</v>
      </c>
      <c r="J21" s="369">
        <f>'Politiques&amp;Suivi&amp;Législation'!AR24</f>
        <v>0</v>
      </c>
      <c r="K21" s="369">
        <f>'Politiques&amp;Suivi&amp;Législation'!AS24</f>
        <v>0</v>
      </c>
      <c r="L21" s="369">
        <f>'Politiques&amp;Suivi&amp;Législation'!AT24</f>
        <v>49000</v>
      </c>
    </row>
    <row r="22" spans="1:12" ht="25.5" customHeight="1" x14ac:dyDescent="0.2">
      <c r="A22" s="370"/>
      <c r="B22" s="405"/>
      <c r="C22" s="874" t="s">
        <v>117</v>
      </c>
      <c r="D22" s="865" t="str">
        <f>'Politiques&amp;Suivi&amp;Législation'!F25</f>
        <v>Mise en œuvre du nouveau système et renforcement des compétences</v>
      </c>
      <c r="E22" s="555"/>
      <c r="F22" s="369">
        <f>'Politiques&amp;Suivi&amp;Législation'!AN25</f>
        <v>130200</v>
      </c>
      <c r="G22" s="369">
        <f>'Politiques&amp;Suivi&amp;Législation'!AO25</f>
        <v>0</v>
      </c>
      <c r="H22" s="369">
        <f>'Politiques&amp;Suivi&amp;Législation'!AP25</f>
        <v>0</v>
      </c>
      <c r="I22" s="369">
        <f>'Politiques&amp;Suivi&amp;Législation'!AQ25</f>
        <v>0</v>
      </c>
      <c r="J22" s="369">
        <f>'Politiques&amp;Suivi&amp;Législation'!AR25</f>
        <v>0</v>
      </c>
      <c r="K22" s="369">
        <f>'Politiques&amp;Suivi&amp;Législation'!AS25</f>
        <v>0</v>
      </c>
      <c r="L22" s="369">
        <f>'Politiques&amp;Suivi&amp;Législation'!AT25</f>
        <v>130200</v>
      </c>
    </row>
    <row r="23" spans="1:12" ht="36" customHeight="1" x14ac:dyDescent="0.2">
      <c r="A23" s="370"/>
      <c r="B23" s="405"/>
      <c r="C23" s="879"/>
      <c r="D23" s="866"/>
      <c r="E23" s="556"/>
      <c r="F23" s="369">
        <f>'Politiques&amp;Suivi&amp;Législation'!AN26</f>
        <v>367200</v>
      </c>
      <c r="G23" s="369">
        <f>'Politiques&amp;Suivi&amp;Législation'!AO26</f>
        <v>0</v>
      </c>
      <c r="H23" s="369">
        <f>'Politiques&amp;Suivi&amp;Législation'!AP26</f>
        <v>0</v>
      </c>
      <c r="I23" s="369">
        <f>'Politiques&amp;Suivi&amp;Législation'!AQ26</f>
        <v>0</v>
      </c>
      <c r="J23" s="369">
        <f>'Politiques&amp;Suivi&amp;Législation'!AR26</f>
        <v>0</v>
      </c>
      <c r="K23" s="369">
        <f>'Politiques&amp;Suivi&amp;Législation'!AS26</f>
        <v>0</v>
      </c>
      <c r="L23" s="369">
        <f>'Politiques&amp;Suivi&amp;Législation'!AT26</f>
        <v>367200</v>
      </c>
    </row>
    <row r="24" spans="1:12" ht="42" customHeight="1" x14ac:dyDescent="0.2">
      <c r="A24" s="855">
        <v>1.2</v>
      </c>
      <c r="B24" s="865" t="s">
        <v>615</v>
      </c>
      <c r="C24" s="401" t="s">
        <v>32</v>
      </c>
      <c r="D24" s="401" t="str">
        <f>'Politiques&amp;Suivi&amp;Législation'!F20</f>
        <v>Préparation d'analyses sectorielles et transversales de la mise en œuvre à moyen terme (phase 2014/15-2016)</v>
      </c>
      <c r="E24" s="553"/>
      <c r="F24" s="369">
        <f>'Politiques&amp;Suivi&amp;Législation'!AN20</f>
        <v>227500</v>
      </c>
      <c r="G24" s="369">
        <f>'Politiques&amp;Suivi&amp;Législation'!AO20</f>
        <v>0</v>
      </c>
      <c r="H24" s="369">
        <f>'Politiques&amp;Suivi&amp;Législation'!AP20</f>
        <v>0</v>
      </c>
      <c r="I24" s="369">
        <f>'Politiques&amp;Suivi&amp;Législation'!AQ20</f>
        <v>0</v>
      </c>
      <c r="J24" s="369">
        <f>'Politiques&amp;Suivi&amp;Législation'!AR20</f>
        <v>0</v>
      </c>
      <c r="K24" s="369">
        <f>'Politiques&amp;Suivi&amp;Législation'!AS20</f>
        <v>0</v>
      </c>
      <c r="L24" s="369">
        <f>'Politiques&amp;Suivi&amp;Législation'!AT20</f>
        <v>227500</v>
      </c>
    </row>
    <row r="25" spans="1:12" ht="25.5" customHeight="1" x14ac:dyDescent="0.2">
      <c r="A25" s="855"/>
      <c r="B25" s="886"/>
      <c r="C25" s="401" t="s">
        <v>33</v>
      </c>
      <c r="D25" s="401" t="str">
        <f>'Politiques&amp;Suivi&amp;Législation'!F21</f>
        <v xml:space="preserve">Analyse à moyen terme de la mise en œuvre de la SNID 2014-2020 </v>
      </c>
      <c r="E25" s="553"/>
      <c r="F25" s="369">
        <f>'Politiques&amp;Suivi&amp;Législation'!AN21</f>
        <v>71000</v>
      </c>
      <c r="G25" s="369">
        <f>'Politiques&amp;Suivi&amp;Législation'!AO21</f>
        <v>0</v>
      </c>
      <c r="H25" s="369">
        <f>'Politiques&amp;Suivi&amp;Législation'!AP21</f>
        <v>0</v>
      </c>
      <c r="I25" s="369">
        <f>'Politiques&amp;Suivi&amp;Législation'!AQ21</f>
        <v>0</v>
      </c>
      <c r="J25" s="369">
        <f>'Politiques&amp;Suivi&amp;Législation'!AR21</f>
        <v>0</v>
      </c>
      <c r="K25" s="369">
        <f>'Politiques&amp;Suivi&amp;Législation'!AS21</f>
        <v>0</v>
      </c>
      <c r="L25" s="369">
        <f>'Politiques&amp;Suivi&amp;Législation'!AT21</f>
        <v>71000</v>
      </c>
    </row>
    <row r="26" spans="1:12" ht="39" customHeight="1" x14ac:dyDescent="0.2">
      <c r="A26" s="855"/>
      <c r="B26" s="866"/>
      <c r="C26" s="401" t="s">
        <v>34</v>
      </c>
      <c r="D26" s="401" t="str">
        <f>'Politiques&amp;Suivi&amp;Législation'!F22</f>
        <v>Révision à moyen terme des stratégies et documents stratégiques de la SNID 2014-2020</v>
      </c>
      <c r="E26" s="553"/>
      <c r="F26" s="369">
        <f>'Politiques&amp;Suivi&amp;Législation'!AN22</f>
        <v>1633500</v>
      </c>
      <c r="G26" s="369">
        <f>'Politiques&amp;Suivi&amp;Législation'!AO22</f>
        <v>0</v>
      </c>
      <c r="H26" s="369">
        <f>'Politiques&amp;Suivi&amp;Législation'!AP22</f>
        <v>0</v>
      </c>
      <c r="I26" s="369">
        <f>'Politiques&amp;Suivi&amp;Législation'!AQ22</f>
        <v>0</v>
      </c>
      <c r="J26" s="369">
        <f>'Politiques&amp;Suivi&amp;Législation'!AR22</f>
        <v>0</v>
      </c>
      <c r="K26" s="369">
        <f>'Politiques&amp;Suivi&amp;Législation'!AS22</f>
        <v>0</v>
      </c>
      <c r="L26" s="369">
        <f>'Politiques&amp;Suivi&amp;Législation'!AT22</f>
        <v>1633500</v>
      </c>
    </row>
    <row r="27" spans="1:12" ht="32.25" customHeight="1" x14ac:dyDescent="0.2">
      <c r="A27" s="855">
        <v>1.3</v>
      </c>
      <c r="B27" s="856" t="s">
        <v>553</v>
      </c>
      <c r="C27" s="401" t="s">
        <v>36</v>
      </c>
      <c r="D27" s="401" t="str">
        <f>'Politiques&amp;Suivi&amp;Législation'!F27</f>
        <v>Recrutement de personnel</v>
      </c>
      <c r="E27" s="553"/>
      <c r="F27" s="369">
        <f>'Politiques&amp;Suivi&amp;Législation'!AN27</f>
        <v>259200</v>
      </c>
      <c r="G27" s="369">
        <f>'Politiques&amp;Suivi&amp;Législation'!AO27</f>
        <v>0</v>
      </c>
      <c r="H27" s="369">
        <f>'Politiques&amp;Suivi&amp;Législation'!AP27</f>
        <v>0</v>
      </c>
      <c r="I27" s="369">
        <f>'Politiques&amp;Suivi&amp;Législation'!AQ27</f>
        <v>0</v>
      </c>
      <c r="J27" s="369">
        <f>'Politiques&amp;Suivi&amp;Législation'!AR27</f>
        <v>0</v>
      </c>
      <c r="K27" s="369">
        <f>'Politiques&amp;Suivi&amp;Législation'!AS27</f>
        <v>0</v>
      </c>
      <c r="L27" s="369">
        <f>'Politiques&amp;Suivi&amp;Législation'!AT27</f>
        <v>259200</v>
      </c>
    </row>
    <row r="28" spans="1:12" ht="44.45" customHeight="1" x14ac:dyDescent="0.2">
      <c r="A28" s="855"/>
      <c r="B28" s="856"/>
      <c r="C28" s="401" t="s">
        <v>37</v>
      </c>
      <c r="D28" s="401" t="str">
        <f>'Politiques&amp;Suivi&amp;Législation'!F28</f>
        <v>Formation et séminaires avec le personnel du Département de la programmation et du financement du développement et de l'aide étrangère.</v>
      </c>
      <c r="E28" s="553"/>
      <c r="F28" s="369">
        <f>'Politiques&amp;Suivi&amp;Législation'!AN28</f>
        <v>6500</v>
      </c>
      <c r="G28" s="369">
        <f>'Politiques&amp;Suivi&amp;Législation'!AO28</f>
        <v>0</v>
      </c>
      <c r="H28" s="369">
        <f>'Politiques&amp;Suivi&amp;Législation'!AP28</f>
        <v>0</v>
      </c>
      <c r="I28" s="369">
        <f>'Politiques&amp;Suivi&amp;Législation'!AQ28</f>
        <v>0</v>
      </c>
      <c r="J28" s="369">
        <f>'Politiques&amp;Suivi&amp;Législation'!AR28</f>
        <v>0</v>
      </c>
      <c r="K28" s="369">
        <f>'Politiques&amp;Suivi&amp;Législation'!AS28</f>
        <v>0</v>
      </c>
      <c r="L28" s="369">
        <f>'Politiques&amp;Suivi&amp;Législation'!AT28</f>
        <v>6500</v>
      </c>
    </row>
    <row r="29" spans="1:12" ht="54.6" customHeight="1" x14ac:dyDescent="0.2">
      <c r="A29" s="855"/>
      <c r="B29" s="856"/>
      <c r="C29" s="401" t="s">
        <v>38</v>
      </c>
      <c r="D29" s="401" t="str">
        <f>'Politiques&amp;Suivi&amp;Législation'!F29</f>
        <v xml:space="preserve">Voyages d'études pour comprendre les pratiques et expériences d'autres pays. </v>
      </c>
      <c r="E29" s="553"/>
      <c r="F29" s="369">
        <f>'Politiques&amp;Suivi&amp;Législation'!AN29</f>
        <v>9000</v>
      </c>
      <c r="G29" s="369">
        <f>'Politiques&amp;Suivi&amp;Législation'!AO29</f>
        <v>0</v>
      </c>
      <c r="H29" s="369">
        <f>'Politiques&amp;Suivi&amp;Législation'!AP29</f>
        <v>0</v>
      </c>
      <c r="I29" s="369">
        <f>'Politiques&amp;Suivi&amp;Législation'!AQ29</f>
        <v>0</v>
      </c>
      <c r="J29" s="369">
        <f>'Politiques&amp;Suivi&amp;Législation'!AR29</f>
        <v>0</v>
      </c>
      <c r="K29" s="369">
        <f>'Politiques&amp;Suivi&amp;Législation'!AS29</f>
        <v>0</v>
      </c>
      <c r="L29" s="369">
        <f>'Politiques&amp;Suivi&amp;Législation'!AT29</f>
        <v>9000</v>
      </c>
    </row>
    <row r="30" spans="1:12" ht="28.5" customHeight="1" x14ac:dyDescent="0.2">
      <c r="A30" s="855">
        <v>1.4</v>
      </c>
      <c r="B30" s="856" t="s">
        <v>554</v>
      </c>
      <c r="C30" s="401" t="s">
        <v>41</v>
      </c>
      <c r="D30" s="401" t="str">
        <f>'Politiques&amp;Suivi&amp;Législation'!F30</f>
        <v>Mise en place du SISPI</v>
      </c>
      <c r="E30" s="553"/>
      <c r="F30" s="369">
        <f>'Politiques&amp;Suivi&amp;Législation'!AN30</f>
        <v>250000</v>
      </c>
      <c r="G30" s="369">
        <f>'Politiques&amp;Suivi&amp;Législation'!AO30</f>
        <v>0</v>
      </c>
      <c r="H30" s="369">
        <f>'Politiques&amp;Suivi&amp;Législation'!AP30</f>
        <v>0</v>
      </c>
      <c r="I30" s="369">
        <f>'Politiques&amp;Suivi&amp;Législation'!AQ30</f>
        <v>0</v>
      </c>
      <c r="J30" s="369">
        <f>'Politiques&amp;Suivi&amp;Législation'!AR30</f>
        <v>250000</v>
      </c>
      <c r="K30" s="369">
        <f>'Politiques&amp;Suivi&amp;Législation'!AS30</f>
        <v>0</v>
      </c>
      <c r="L30" s="369">
        <f>'Politiques&amp;Suivi&amp;Législation'!AT30</f>
        <v>0</v>
      </c>
    </row>
    <row r="31" spans="1:12" ht="79.349999999999994" customHeight="1" x14ac:dyDescent="0.2">
      <c r="A31" s="855"/>
      <c r="B31" s="856"/>
      <c r="C31" s="401" t="s">
        <v>43</v>
      </c>
      <c r="D31" s="401" t="str">
        <f>'Politiques&amp;Suivi&amp;Législation'!F31</f>
        <v>Formation du personnel des institutions centrales concernant la gestion et la maintenance du SISPI.</v>
      </c>
      <c r="E31" s="553"/>
      <c r="F31" s="369">
        <f>'Politiques&amp;Suivi&amp;Législation'!AN31</f>
        <v>11190</v>
      </c>
      <c r="G31" s="369">
        <f>'Politiques&amp;Suivi&amp;Législation'!AO31</f>
        <v>0</v>
      </c>
      <c r="H31" s="369">
        <f>'Politiques&amp;Suivi&amp;Législation'!AP31</f>
        <v>0</v>
      </c>
      <c r="I31" s="369">
        <f>'Politiques&amp;Suivi&amp;Législation'!AQ31</f>
        <v>0</v>
      </c>
      <c r="J31" s="369">
        <f>'Politiques&amp;Suivi&amp;Législation'!AR31</f>
        <v>0</v>
      </c>
      <c r="K31" s="369">
        <f>'Politiques&amp;Suivi&amp;Législation'!AS31</f>
        <v>0</v>
      </c>
      <c r="L31" s="369">
        <f>'Politiques&amp;Suivi&amp;Législation'!AT31</f>
        <v>11190</v>
      </c>
    </row>
    <row r="32" spans="1:12" ht="66.75" customHeight="1" x14ac:dyDescent="0.2">
      <c r="A32" s="855"/>
      <c r="B32" s="856"/>
      <c r="C32" s="401" t="s">
        <v>45</v>
      </c>
      <c r="D32" s="401" t="str">
        <f>'Politiques&amp;Suivi&amp;Législation'!F32</f>
        <v>Renforcement des compétences des institutions utilisant le SIMFA, et rédaction des rapports de suivi pertinents.</v>
      </c>
      <c r="E32" s="874" t="s">
        <v>556</v>
      </c>
      <c r="F32" s="369">
        <f>'Politiques&amp;Suivi&amp;Législation'!AN32</f>
        <v>0</v>
      </c>
      <c r="G32" s="369">
        <f>'Politiques&amp;Suivi&amp;Législation'!AO32</f>
        <v>0</v>
      </c>
      <c r="H32" s="369">
        <f>'Politiques&amp;Suivi&amp;Législation'!AP32</f>
        <v>0</v>
      </c>
      <c r="I32" s="369">
        <f>'Politiques&amp;Suivi&amp;Législation'!AQ32</f>
        <v>0</v>
      </c>
      <c r="J32" s="369">
        <f>'Politiques&amp;Suivi&amp;Législation'!AR32</f>
        <v>0</v>
      </c>
      <c r="K32" s="369">
        <f>'Politiques&amp;Suivi&amp;Législation'!AS32</f>
        <v>0</v>
      </c>
      <c r="L32" s="369">
        <f>'Politiques&amp;Suivi&amp;Législation'!AT32</f>
        <v>0</v>
      </c>
    </row>
    <row r="33" spans="1:19" ht="45" customHeight="1" x14ac:dyDescent="0.2">
      <c r="A33" s="855"/>
      <c r="B33" s="856"/>
      <c r="C33" s="401" t="s">
        <v>75</v>
      </c>
      <c r="D33" s="401" t="str">
        <f>'Politiques&amp;Suivi&amp;Législation'!F33</f>
        <v xml:space="preserve">Renforcement des compétences du MdF pour la gestion du SIMFA. </v>
      </c>
      <c r="E33" s="879"/>
      <c r="F33" s="369">
        <f>'Politiques&amp;Suivi&amp;Législation'!AN33</f>
        <v>0</v>
      </c>
      <c r="G33" s="369">
        <f>'Politiques&amp;Suivi&amp;Législation'!AO33</f>
        <v>0</v>
      </c>
      <c r="H33" s="369">
        <f>'Politiques&amp;Suivi&amp;Législation'!AP33</f>
        <v>0</v>
      </c>
      <c r="I33" s="369">
        <f>'Politiques&amp;Suivi&amp;Législation'!AQ33</f>
        <v>0</v>
      </c>
      <c r="J33" s="369">
        <f>'Politiques&amp;Suivi&amp;Législation'!AR33</f>
        <v>0</v>
      </c>
      <c r="K33" s="369">
        <f>'Politiques&amp;Suivi&amp;Législation'!AS33</f>
        <v>0</v>
      </c>
      <c r="L33" s="369">
        <f>'Politiques&amp;Suivi&amp;Législation'!AT33</f>
        <v>0</v>
      </c>
    </row>
    <row r="34" spans="1:19" ht="62.25" customHeight="1" x14ac:dyDescent="0.2">
      <c r="A34" s="371">
        <v>1.6</v>
      </c>
      <c r="B34" s="773" t="s">
        <v>555</v>
      </c>
      <c r="C34" s="401" t="s">
        <v>112</v>
      </c>
      <c r="D34" s="401" t="str">
        <f>'Politiques&amp;Suivi&amp;Législation'!F34</f>
        <v xml:space="preserve">Renforcement des compétences des institutions en lien avec le Programme budgétaire à moyen terme. </v>
      </c>
      <c r="E34" s="553"/>
      <c r="F34" s="372">
        <f>'Politiques&amp;Suivi&amp;Législation'!AN34</f>
        <v>27900</v>
      </c>
      <c r="G34" s="372">
        <f>'Politiques&amp;Suivi&amp;Législation'!AO34</f>
        <v>0</v>
      </c>
      <c r="H34" s="372">
        <f>'Politiques&amp;Suivi&amp;Législation'!AP34</f>
        <v>0</v>
      </c>
      <c r="I34" s="372">
        <f>'Politiques&amp;Suivi&amp;Législation'!AQ34</f>
        <v>0</v>
      </c>
      <c r="J34" s="372">
        <f>'Politiques&amp;Suivi&amp;Législation'!AR34</f>
        <v>0</v>
      </c>
      <c r="K34" s="372">
        <f>'Politiques&amp;Suivi&amp;Législation'!AS34</f>
        <v>0</v>
      </c>
      <c r="L34" s="372">
        <f>'Politiques&amp;Suivi&amp;Législation'!AT34</f>
        <v>27900</v>
      </c>
    </row>
    <row r="35" spans="1:19" ht="42.75" customHeight="1" x14ac:dyDescent="0.2">
      <c r="A35" s="855">
        <v>1.7</v>
      </c>
      <c r="B35" s="856" t="s">
        <v>458</v>
      </c>
      <c r="C35" s="401"/>
      <c r="D35" s="401" t="str">
        <f>'Politiques&amp;Suivi&amp;Législation'!F35</f>
        <v xml:space="preserve">Renforcement des compétences des ministères sectoriels par la mise en œuvre du Programme de formation pour la planification stratégique.  </v>
      </c>
      <c r="E35" s="553"/>
      <c r="F35" s="369">
        <f>'Politiques&amp;Suivi&amp;Législation'!AN35</f>
        <v>62590</v>
      </c>
      <c r="G35" s="369">
        <f>'Politiques&amp;Suivi&amp;Législation'!AO35</f>
        <v>0</v>
      </c>
      <c r="H35" s="369">
        <f>'Politiques&amp;Suivi&amp;Législation'!AP35</f>
        <v>0</v>
      </c>
      <c r="I35" s="369">
        <f>'Politiques&amp;Suivi&amp;Législation'!AQ35</f>
        <v>0</v>
      </c>
      <c r="J35" s="369">
        <f>'Politiques&amp;Suivi&amp;Législation'!AR35</f>
        <v>0</v>
      </c>
      <c r="K35" s="369">
        <f>'Politiques&amp;Suivi&amp;Législation'!AS35</f>
        <v>0</v>
      </c>
      <c r="L35" s="369">
        <f>'Politiques&amp;Suivi&amp;Législation'!AT35</f>
        <v>62590</v>
      </c>
    </row>
    <row r="36" spans="1:19" ht="55.5" customHeight="1" x14ac:dyDescent="0.2">
      <c r="A36" s="855"/>
      <c r="B36" s="856"/>
      <c r="C36" s="401"/>
      <c r="D36" s="401" t="str">
        <f>'Politiques&amp;Suivi&amp;Législation'!F36</f>
        <v xml:space="preserve">Renforcement des compétences des unités chargées de l'élaboration des politiques pour garantir une bonne direction et de bons conseils pour la rédaction et le suivi des documents stratégiques. </v>
      </c>
      <c r="E36" s="553"/>
      <c r="F36" s="369">
        <f>'Politiques&amp;Suivi&amp;Législation'!AN36</f>
        <v>13170</v>
      </c>
      <c r="G36" s="369">
        <f>'Politiques&amp;Suivi&amp;Législation'!AO36</f>
        <v>0</v>
      </c>
      <c r="H36" s="369">
        <f>'Politiques&amp;Suivi&amp;Législation'!AP36</f>
        <v>0</v>
      </c>
      <c r="I36" s="369">
        <f>'Politiques&amp;Suivi&amp;Législation'!AQ36</f>
        <v>0</v>
      </c>
      <c r="J36" s="369">
        <f>'Politiques&amp;Suivi&amp;Législation'!AR36</f>
        <v>0</v>
      </c>
      <c r="K36" s="369">
        <f>'Politiques&amp;Suivi&amp;Législation'!AS36</f>
        <v>0</v>
      </c>
      <c r="L36" s="369">
        <f>'Politiques&amp;Suivi&amp;Législation'!AT36</f>
        <v>13170</v>
      </c>
    </row>
    <row r="37" spans="1:19" ht="33.6" customHeight="1" x14ac:dyDescent="0.2">
      <c r="A37" s="863">
        <v>1.8</v>
      </c>
      <c r="B37" s="865" t="s">
        <v>557</v>
      </c>
      <c r="C37" s="401" t="s">
        <v>113</v>
      </c>
      <c r="D37" s="401" t="str">
        <f>'Politiques&amp;Suivi&amp;Législation'!F38</f>
        <v xml:space="preserve">Évaluation de la situation en termes de fonctionnement des Groupes de gestion stratégique (GGS) </v>
      </c>
      <c r="E37" s="553"/>
      <c r="F37" s="369">
        <f>'Politiques&amp;Suivi&amp;Législation'!AN38</f>
        <v>55750</v>
      </c>
      <c r="G37" s="369">
        <f>'Politiques&amp;Suivi&amp;Législation'!AO38</f>
        <v>0</v>
      </c>
      <c r="H37" s="369">
        <f>'Politiques&amp;Suivi&amp;Législation'!AP38</f>
        <v>0</v>
      </c>
      <c r="I37" s="369">
        <f>'Politiques&amp;Suivi&amp;Législation'!AQ38</f>
        <v>0</v>
      </c>
      <c r="J37" s="369">
        <f>'Politiques&amp;Suivi&amp;Législation'!AR38</f>
        <v>0</v>
      </c>
      <c r="K37" s="369">
        <f>'Politiques&amp;Suivi&amp;Législation'!AS38</f>
        <v>0</v>
      </c>
      <c r="L37" s="369">
        <f>'Politiques&amp;Suivi&amp;Législation'!AT38</f>
        <v>55750</v>
      </c>
    </row>
    <row r="38" spans="1:19" ht="25.5" x14ac:dyDescent="0.2">
      <c r="A38" s="893"/>
      <c r="B38" s="886"/>
      <c r="C38" s="401" t="s">
        <v>114</v>
      </c>
      <c r="D38" s="401" t="str">
        <f>'Politiques&amp;Suivi&amp;Législation'!F39</f>
        <v>Modification du cadre légal et institutionnel approprié pour le fonctionnement des GGS.</v>
      </c>
      <c r="E38" s="553"/>
      <c r="F38" s="369">
        <f>'Politiques&amp;Suivi&amp;Législation'!AN39</f>
        <v>16000</v>
      </c>
      <c r="G38" s="369">
        <f>'Politiques&amp;Suivi&amp;Législation'!AO39</f>
        <v>0</v>
      </c>
      <c r="H38" s="369">
        <f>'Politiques&amp;Suivi&amp;Législation'!AP39</f>
        <v>0</v>
      </c>
      <c r="I38" s="369">
        <f>'Politiques&amp;Suivi&amp;Législation'!AQ39</f>
        <v>0</v>
      </c>
      <c r="J38" s="369">
        <f>'Politiques&amp;Suivi&amp;Législation'!AR39</f>
        <v>0</v>
      </c>
      <c r="K38" s="369">
        <f>'Politiques&amp;Suivi&amp;Législation'!AS39</f>
        <v>0</v>
      </c>
      <c r="L38" s="369">
        <f>'Politiques&amp;Suivi&amp;Législation'!AT39</f>
        <v>16000</v>
      </c>
    </row>
    <row r="39" spans="1:19" ht="38.25" x14ac:dyDescent="0.2">
      <c r="A39" s="893"/>
      <c r="B39" s="886"/>
      <c r="C39" s="401" t="s">
        <v>118</v>
      </c>
      <c r="D39" s="401" t="str">
        <f>'Politiques&amp;Suivi&amp;Législation'!F40</f>
        <v xml:space="preserve">Préparation du programme de formation pour les cadres supérieurs en lien avec le cycle de gestion des politiques publiques. </v>
      </c>
      <c r="E39" s="553"/>
      <c r="F39" s="369">
        <f>'Politiques&amp;Suivi&amp;Législation'!AN40</f>
        <v>28500</v>
      </c>
      <c r="G39" s="369">
        <f>'Politiques&amp;Suivi&amp;Législation'!AO40</f>
        <v>0</v>
      </c>
      <c r="H39" s="369">
        <f>'Politiques&amp;Suivi&amp;Législation'!AP40</f>
        <v>0</v>
      </c>
      <c r="I39" s="369">
        <f>'Politiques&amp;Suivi&amp;Législation'!AQ40</f>
        <v>0</v>
      </c>
      <c r="J39" s="369">
        <f>'Politiques&amp;Suivi&amp;Législation'!AR40</f>
        <v>0</v>
      </c>
      <c r="K39" s="369">
        <f>'Politiques&amp;Suivi&amp;Législation'!AS40</f>
        <v>0</v>
      </c>
      <c r="L39" s="369">
        <f>'Politiques&amp;Suivi&amp;Législation'!AT40</f>
        <v>28500</v>
      </c>
    </row>
    <row r="40" spans="1:19" ht="51" x14ac:dyDescent="0.2">
      <c r="A40" s="893"/>
      <c r="B40" s="886"/>
      <c r="C40" s="401" t="s">
        <v>119</v>
      </c>
      <c r="D40" s="401" t="str">
        <f>'Politiques&amp;Suivi&amp;Législation'!F41</f>
        <v xml:space="preserve">Renforcement des compétences des cadres supérieurs des ministères sectoriels par la mise en oeuvre du programme de formation sur le cycle de gestion des politiques publiques.  </v>
      </c>
      <c r="E40" s="553"/>
      <c r="F40" s="369">
        <f>'Politiques&amp;Suivi&amp;Législation'!AN41</f>
        <v>427250</v>
      </c>
      <c r="G40" s="369">
        <f>'Politiques&amp;Suivi&amp;Législation'!AO41</f>
        <v>0</v>
      </c>
      <c r="H40" s="369">
        <f>'Politiques&amp;Suivi&amp;Législation'!AP41</f>
        <v>0</v>
      </c>
      <c r="I40" s="369">
        <f>'Politiques&amp;Suivi&amp;Législation'!AQ41</f>
        <v>0</v>
      </c>
      <c r="J40" s="369">
        <f>'Politiques&amp;Suivi&amp;Législation'!AR41</f>
        <v>0</v>
      </c>
      <c r="K40" s="369">
        <f>'Politiques&amp;Suivi&amp;Législation'!AS41</f>
        <v>0</v>
      </c>
      <c r="L40" s="369">
        <f>'Politiques&amp;Suivi&amp;Législation'!AT41</f>
        <v>427250</v>
      </c>
    </row>
    <row r="41" spans="1:19" s="357" customFormat="1" ht="15.75" customHeight="1" x14ac:dyDescent="0.2">
      <c r="A41" s="373"/>
      <c r="B41" s="890" t="s">
        <v>223</v>
      </c>
      <c r="C41" s="891"/>
      <c r="D41" s="892"/>
      <c r="E41" s="557"/>
      <c r="F41" s="374">
        <f t="shared" ref="F41:L41" si="0">SUM(F10:F40)</f>
        <v>9204025</v>
      </c>
      <c r="G41" s="374">
        <f t="shared" si="0"/>
        <v>8000</v>
      </c>
      <c r="H41" s="374">
        <f t="shared" si="0"/>
        <v>450000</v>
      </c>
      <c r="I41" s="374">
        <f t="shared" si="0"/>
        <v>0</v>
      </c>
      <c r="J41" s="374">
        <f t="shared" si="0"/>
        <v>300000</v>
      </c>
      <c r="K41" s="374">
        <f t="shared" si="0"/>
        <v>0</v>
      </c>
      <c r="L41" s="374">
        <f t="shared" si="0"/>
        <v>8446025</v>
      </c>
      <c r="M41" s="480">
        <f>'Politiques&amp;Suivi&amp;Législation'!AN42</f>
        <v>9204025</v>
      </c>
      <c r="N41" s="480">
        <f>'Politiques&amp;Suivi&amp;Législation'!AO42</f>
        <v>8000</v>
      </c>
      <c r="O41" s="480">
        <f>'Politiques&amp;Suivi&amp;Législation'!AP42</f>
        <v>450000</v>
      </c>
      <c r="P41" s="480">
        <f>'Politiques&amp;Suivi&amp;Législation'!AQ42</f>
        <v>0</v>
      </c>
      <c r="Q41" s="480">
        <f>'Politiques&amp;Suivi&amp;Législation'!AR42</f>
        <v>300000</v>
      </c>
      <c r="R41" s="480">
        <f>'Politiques&amp;Suivi&amp;Législation'!AS42</f>
        <v>0</v>
      </c>
      <c r="S41" s="480">
        <f>'Politiques&amp;Suivi&amp;Législation'!AT42</f>
        <v>8446025</v>
      </c>
    </row>
    <row r="42" spans="1:19" ht="31.5" customHeight="1" x14ac:dyDescent="0.2">
      <c r="A42" s="375">
        <v>2</v>
      </c>
      <c r="B42" s="894" t="s">
        <v>628</v>
      </c>
      <c r="C42" s="895"/>
      <c r="D42" s="895"/>
      <c r="E42" s="895"/>
      <c r="F42" s="895"/>
      <c r="G42" s="895"/>
      <c r="H42" s="895"/>
      <c r="I42" s="895"/>
      <c r="J42" s="895"/>
      <c r="K42" s="895"/>
      <c r="L42" s="896"/>
      <c r="M42" s="481">
        <f>F41-M41</f>
        <v>0</v>
      </c>
      <c r="N42" s="481">
        <f t="shared" ref="N42:S42" si="1">G41-N41</f>
        <v>0</v>
      </c>
      <c r="O42" s="481">
        <f t="shared" si="1"/>
        <v>0</v>
      </c>
      <c r="P42" s="481">
        <f t="shared" si="1"/>
        <v>0</v>
      </c>
      <c r="Q42" s="481">
        <f t="shared" si="1"/>
        <v>0</v>
      </c>
      <c r="R42" s="481">
        <f t="shared" si="1"/>
        <v>0</v>
      </c>
      <c r="S42" s="481">
        <f t="shared" si="1"/>
        <v>0</v>
      </c>
    </row>
    <row r="43" spans="1:19" ht="31.5" customHeight="1" x14ac:dyDescent="0.2">
      <c r="A43" s="855">
        <v>2.1</v>
      </c>
      <c r="B43" s="856" t="s">
        <v>617</v>
      </c>
      <c r="C43" s="401" t="s">
        <v>16</v>
      </c>
      <c r="D43" s="401" t="s">
        <v>625</v>
      </c>
      <c r="E43" s="553"/>
      <c r="F43" s="369">
        <f>'Politiques&amp;Suivi&amp;Législation'!AN44</f>
        <v>28500</v>
      </c>
      <c r="G43" s="369">
        <f>'Politiques&amp;Suivi&amp;Législation'!AO44</f>
        <v>0</v>
      </c>
      <c r="H43" s="369">
        <f>'Politiques&amp;Suivi&amp;Législation'!AP44</f>
        <v>0</v>
      </c>
      <c r="I43" s="369">
        <f>'Politiques&amp;Suivi&amp;Législation'!AQ44</f>
        <v>0</v>
      </c>
      <c r="J43" s="369">
        <f>'Politiques&amp;Suivi&amp;Législation'!AR44</f>
        <v>0</v>
      </c>
      <c r="K43" s="369">
        <f>'Politiques&amp;Suivi&amp;Législation'!AS44</f>
        <v>0</v>
      </c>
      <c r="L43" s="369">
        <f>'Politiques&amp;Suivi&amp;Législation'!AT44</f>
        <v>28500</v>
      </c>
    </row>
    <row r="44" spans="1:19" ht="38.25" customHeight="1" x14ac:dyDescent="0.2">
      <c r="A44" s="855"/>
      <c r="B44" s="856"/>
      <c r="C44" s="401" t="s">
        <v>17</v>
      </c>
      <c r="D44" s="401" t="str">
        <f>'Politiques&amp;Suivi&amp;Législation'!F45</f>
        <v>Paquet législatif sur la rédaction des lois (projets de lois et de règlements)</v>
      </c>
      <c r="E44" s="553"/>
      <c r="F44" s="369">
        <f>'Politiques&amp;Suivi&amp;Législation'!AN45</f>
        <v>82500</v>
      </c>
      <c r="G44" s="369">
        <f>'Politiques&amp;Suivi&amp;Législation'!AO45</f>
        <v>0</v>
      </c>
      <c r="H44" s="369">
        <f>'Politiques&amp;Suivi&amp;Législation'!AP45</f>
        <v>0</v>
      </c>
      <c r="I44" s="369">
        <f>'Politiques&amp;Suivi&amp;Législation'!AQ45</f>
        <v>0</v>
      </c>
      <c r="J44" s="369">
        <f>'Politiques&amp;Suivi&amp;Législation'!AR45</f>
        <v>0</v>
      </c>
      <c r="K44" s="369">
        <f>'Politiques&amp;Suivi&amp;Législation'!AS45</f>
        <v>0</v>
      </c>
      <c r="L44" s="369">
        <f>'Politiques&amp;Suivi&amp;Législation'!AT45</f>
        <v>82500</v>
      </c>
    </row>
    <row r="45" spans="1:19" ht="67.5" customHeight="1" x14ac:dyDescent="0.2">
      <c r="A45" s="874">
        <v>2.2000000000000002</v>
      </c>
      <c r="B45" s="865" t="s">
        <v>618</v>
      </c>
      <c r="C45" s="401" t="s">
        <v>15</v>
      </c>
      <c r="D45" s="401" t="s">
        <v>626</v>
      </c>
      <c r="E45" s="553"/>
      <c r="F45" s="369">
        <f>'Politiques&amp;Suivi&amp;Législation'!AN47</f>
        <v>33000</v>
      </c>
      <c r="G45" s="369">
        <f>'Politiques&amp;Suivi&amp;Législation'!AO47</f>
        <v>0</v>
      </c>
      <c r="H45" s="369">
        <f>'Politiques&amp;Suivi&amp;Législation'!AP47</f>
        <v>0</v>
      </c>
      <c r="I45" s="369">
        <f>'Politiques&amp;Suivi&amp;Législation'!AQ47</f>
        <v>0</v>
      </c>
      <c r="J45" s="369">
        <f>'Politiques&amp;Suivi&amp;Législation'!AR47</f>
        <v>0</v>
      </c>
      <c r="K45" s="369">
        <f>'Politiques&amp;Suivi&amp;Législation'!AS47</f>
        <v>0</v>
      </c>
      <c r="L45" s="369">
        <f>'Politiques&amp;Suivi&amp;Législation'!AT47</f>
        <v>33000</v>
      </c>
    </row>
    <row r="46" spans="1:19" ht="48.75" customHeight="1" x14ac:dyDescent="0.2">
      <c r="A46" s="873"/>
      <c r="B46" s="886"/>
      <c r="C46" s="401" t="s">
        <v>120</v>
      </c>
      <c r="D46" s="401" t="str">
        <f>'Politiques&amp;Suivi&amp;Législation'!F48</f>
        <v xml:space="preserve">Critères plus stricts pour les postes impliqués dans le processus législatif. </v>
      </c>
      <c r="E46" s="553"/>
      <c r="F46" s="369">
        <f>'Politiques&amp;Suivi&amp;Législation'!AN48</f>
        <v>6700</v>
      </c>
      <c r="G46" s="369">
        <f>'Politiques&amp;Suivi&amp;Législation'!AO48</f>
        <v>0</v>
      </c>
      <c r="H46" s="369">
        <f>'Politiques&amp;Suivi&amp;Législation'!AP48</f>
        <v>0</v>
      </c>
      <c r="I46" s="369">
        <f>'Politiques&amp;Suivi&amp;Législation'!AQ48</f>
        <v>0</v>
      </c>
      <c r="J46" s="369">
        <f>'Politiques&amp;Suivi&amp;Législation'!AR48</f>
        <v>0</v>
      </c>
      <c r="K46" s="369">
        <f>'Politiques&amp;Suivi&amp;Législation'!AS48</f>
        <v>0</v>
      </c>
      <c r="L46" s="369">
        <f>'Politiques&amp;Suivi&amp;Législation'!AT48</f>
        <v>6700</v>
      </c>
    </row>
    <row r="47" spans="1:19" ht="30" customHeight="1" x14ac:dyDescent="0.2">
      <c r="A47" s="873"/>
      <c r="B47" s="886"/>
      <c r="C47" s="401" t="s">
        <v>47</v>
      </c>
      <c r="D47" s="401" t="s">
        <v>627</v>
      </c>
      <c r="E47" s="553"/>
      <c r="F47" s="369">
        <f>'Politiques&amp;Suivi&amp;Législation'!AN49</f>
        <v>14750</v>
      </c>
      <c r="G47" s="369">
        <f>'Politiques&amp;Suivi&amp;Législation'!AO49</f>
        <v>0</v>
      </c>
      <c r="H47" s="369">
        <f>'Politiques&amp;Suivi&amp;Législation'!AP49</f>
        <v>0</v>
      </c>
      <c r="I47" s="369">
        <f>'Politiques&amp;Suivi&amp;Législation'!AQ49</f>
        <v>0</v>
      </c>
      <c r="J47" s="369">
        <f>'Politiques&amp;Suivi&amp;Législation'!AR49</f>
        <v>0</v>
      </c>
      <c r="K47" s="369">
        <f>'Politiques&amp;Suivi&amp;Législation'!AS49</f>
        <v>0</v>
      </c>
      <c r="L47" s="369">
        <f>'Politiques&amp;Suivi&amp;Législation'!AT49</f>
        <v>14750</v>
      </c>
    </row>
    <row r="48" spans="1:19" ht="48" customHeight="1" x14ac:dyDescent="0.2">
      <c r="A48" s="873"/>
      <c r="B48" s="866"/>
      <c r="C48" s="401" t="s">
        <v>120</v>
      </c>
      <c r="D48" s="401" t="str">
        <f>'Politiques&amp;Suivi&amp;Législation'!F50</f>
        <v xml:space="preserve">Rédaction d'un manuel/d'un protocole de travail pour la consultation des actes. </v>
      </c>
      <c r="E48" s="553"/>
      <c r="F48" s="369">
        <f>'Politiques&amp;Suivi&amp;Législation'!AN50</f>
        <v>7500</v>
      </c>
      <c r="G48" s="369">
        <f>'Politiques&amp;Suivi&amp;Législation'!AO50</f>
        <v>7500</v>
      </c>
      <c r="H48" s="369">
        <f>'Politiques&amp;Suivi&amp;Législation'!AP50</f>
        <v>0</v>
      </c>
      <c r="I48" s="369">
        <f>'Politiques&amp;Suivi&amp;Législation'!AQ50</f>
        <v>0</v>
      </c>
      <c r="J48" s="369">
        <f>'Politiques&amp;Suivi&amp;Législation'!AR50</f>
        <v>0</v>
      </c>
      <c r="K48" s="369">
        <f>'Politiques&amp;Suivi&amp;Législation'!AS50</f>
        <v>0</v>
      </c>
      <c r="L48" s="369">
        <f>'Politiques&amp;Suivi&amp;Législation'!AT50</f>
        <v>0</v>
      </c>
    </row>
    <row r="49" spans="1:19" ht="48.75" customHeight="1" x14ac:dyDescent="0.2">
      <c r="A49" s="874">
        <v>2.2999999999999998</v>
      </c>
      <c r="B49" s="865" t="s">
        <v>620</v>
      </c>
      <c r="C49" s="553" t="s">
        <v>48</v>
      </c>
      <c r="D49" s="553" t="str">
        <f>'Transparence &amp; Anti-corruption '!E9</f>
        <v>Intégration du manuel sur la prévention de la corruption.</v>
      </c>
      <c r="E49" s="773" t="s">
        <v>694</v>
      </c>
      <c r="F49" s="369">
        <f>'Transparence &amp; Anti-corruption '!AL9</f>
        <v>0</v>
      </c>
      <c r="G49" s="369">
        <f>'Transparence &amp; Anti-corruption '!AM9</f>
        <v>0</v>
      </c>
      <c r="H49" s="369">
        <f>'Transparence &amp; Anti-corruption '!AN9</f>
        <v>0</v>
      </c>
      <c r="I49" s="369">
        <f>'Transparence &amp; Anti-corruption '!AO9</f>
        <v>0</v>
      </c>
      <c r="J49" s="369">
        <f>'Transparence &amp; Anti-corruption '!AP9</f>
        <v>0</v>
      </c>
      <c r="K49" s="369">
        <f>'Transparence &amp; Anti-corruption '!AQ9</f>
        <v>0</v>
      </c>
      <c r="L49" s="369">
        <f>'Transparence &amp; Anti-corruption '!AR9</f>
        <v>0</v>
      </c>
    </row>
    <row r="50" spans="1:19" ht="30" customHeight="1" x14ac:dyDescent="0.2">
      <c r="A50" s="879"/>
      <c r="B50" s="866"/>
      <c r="C50" s="553" t="s">
        <v>49</v>
      </c>
      <c r="D50" s="553" t="str">
        <f>'Transparence &amp; Anti-corruption '!E10</f>
        <v>Elaboration d'une méthodologie d'analyse de la législation aux fins de détecter les failles facilitant la corruption.</v>
      </c>
      <c r="E50" s="553"/>
      <c r="F50" s="369">
        <f>'Transparence &amp; Anti-corruption '!AL10</f>
        <v>72150</v>
      </c>
      <c r="G50" s="369">
        <f>'Transparence &amp; Anti-corruption '!AM10</f>
        <v>0</v>
      </c>
      <c r="H50" s="369">
        <f>'Transparence &amp; Anti-corruption '!AN10</f>
        <v>0</v>
      </c>
      <c r="I50" s="369">
        <f>'Transparence &amp; Anti-corruption '!AO10</f>
        <v>0</v>
      </c>
      <c r="J50" s="369">
        <f>'Transparence &amp; Anti-corruption '!AP10</f>
        <v>0</v>
      </c>
      <c r="K50" s="369">
        <f>'Transparence &amp; Anti-corruption '!AQ10</f>
        <v>0</v>
      </c>
      <c r="L50" s="369">
        <f>'Transparence &amp; Anti-corruption '!AR10</f>
        <v>72150</v>
      </c>
    </row>
    <row r="51" spans="1:19" ht="37.5" customHeight="1" x14ac:dyDescent="0.2">
      <c r="A51" s="863">
        <v>2.4</v>
      </c>
      <c r="B51" s="856" t="s">
        <v>621</v>
      </c>
      <c r="C51" s="401" t="s">
        <v>48</v>
      </c>
      <c r="D51" s="401" t="str">
        <f>'Politiques&amp;Suivi&amp;Législation'!F52</f>
        <v xml:space="preserve">Adoption de règlements pour faciliter la procédure de consultation. </v>
      </c>
      <c r="E51" s="553"/>
      <c r="F51" s="369">
        <f>'Politiques&amp;Suivi&amp;Législation'!AN52</f>
        <v>9000</v>
      </c>
      <c r="G51" s="369">
        <f>'Politiques&amp;Suivi&amp;Législation'!AO52</f>
        <v>0</v>
      </c>
      <c r="H51" s="369">
        <f>'Politiques&amp;Suivi&amp;Législation'!AP52</f>
        <v>0</v>
      </c>
      <c r="I51" s="369">
        <f>'Politiques&amp;Suivi&amp;Législation'!AQ52</f>
        <v>0</v>
      </c>
      <c r="J51" s="369">
        <f>'Politiques&amp;Suivi&amp;Législation'!AR52</f>
        <v>0</v>
      </c>
      <c r="K51" s="369">
        <f>'Politiques&amp;Suivi&amp;Législation'!AS52</f>
        <v>0</v>
      </c>
      <c r="L51" s="369">
        <f>'Politiques&amp;Suivi&amp;Législation'!AT52</f>
        <v>9000</v>
      </c>
    </row>
    <row r="52" spans="1:19" ht="29.25" customHeight="1" x14ac:dyDescent="0.2">
      <c r="A52" s="893"/>
      <c r="B52" s="856"/>
      <c r="C52" s="401" t="s">
        <v>49</v>
      </c>
      <c r="D52" s="401" t="str">
        <f>'Politiques&amp;Suivi&amp;Législation'!F53</f>
        <v xml:space="preserve"> Création d'une base de données des parties prenantes </v>
      </c>
      <c r="E52" s="815" t="s">
        <v>694</v>
      </c>
      <c r="F52" s="369">
        <f>'Politiques&amp;Suivi&amp;Législation'!AN53</f>
        <v>0</v>
      </c>
      <c r="G52" s="369">
        <f>'Politiques&amp;Suivi&amp;Législation'!AO53</f>
        <v>0</v>
      </c>
      <c r="H52" s="369">
        <f>'Politiques&amp;Suivi&amp;Législation'!AP53</f>
        <v>0</v>
      </c>
      <c r="I52" s="369">
        <f>'Politiques&amp;Suivi&amp;Législation'!AQ53</f>
        <v>0</v>
      </c>
      <c r="J52" s="369">
        <f>'Politiques&amp;Suivi&amp;Législation'!AR53</f>
        <v>0</v>
      </c>
      <c r="K52" s="369">
        <f>'Politiques&amp;Suivi&amp;Législation'!AS53</f>
        <v>0</v>
      </c>
      <c r="L52" s="369">
        <f>'Politiques&amp;Suivi&amp;Législation'!AT53</f>
        <v>0</v>
      </c>
    </row>
    <row r="53" spans="1:19" ht="32.25" customHeight="1" x14ac:dyDescent="0.2">
      <c r="A53" s="893"/>
      <c r="B53" s="856"/>
      <c r="C53" s="401" t="s">
        <v>82</v>
      </c>
      <c r="D53" s="401" t="str">
        <f>'Politiques&amp;Suivi&amp;Législation'!F54</f>
        <v xml:space="preserve">Rédaction d'un manuel/protocole de travail pour la consultation des actes. </v>
      </c>
      <c r="E53" s="815" t="s">
        <v>694</v>
      </c>
      <c r="F53" s="369">
        <f>'Politiques&amp;Suivi&amp;Législation'!AN54</f>
        <v>0</v>
      </c>
      <c r="G53" s="369">
        <f>'Politiques&amp;Suivi&amp;Législation'!AO54</f>
        <v>0</v>
      </c>
      <c r="H53" s="369">
        <f>'Politiques&amp;Suivi&amp;Législation'!AP54</f>
        <v>0</v>
      </c>
      <c r="I53" s="369">
        <f>'Politiques&amp;Suivi&amp;Législation'!AQ54</f>
        <v>0</v>
      </c>
      <c r="J53" s="369">
        <f>'Politiques&amp;Suivi&amp;Législation'!AR54</f>
        <v>0</v>
      </c>
      <c r="K53" s="369">
        <f>'Politiques&amp;Suivi&amp;Législation'!AS54</f>
        <v>0</v>
      </c>
      <c r="L53" s="369">
        <f>'Politiques&amp;Suivi&amp;Législation'!AT54</f>
        <v>0</v>
      </c>
    </row>
    <row r="54" spans="1:19" ht="25.5" customHeight="1" x14ac:dyDescent="0.2">
      <c r="A54" s="864"/>
      <c r="B54" s="856"/>
      <c r="C54" s="401" t="s">
        <v>175</v>
      </c>
      <c r="D54" s="401" t="str">
        <f>'Politiques&amp;Suivi&amp;Législation'!F55</f>
        <v>Formation des personnes responsables des consultations.</v>
      </c>
      <c r="E54" s="553"/>
      <c r="F54" s="369">
        <f>'Politiques&amp;Suivi&amp;Législation'!AN55</f>
        <v>9120</v>
      </c>
      <c r="G54" s="369">
        <f>'Politiques&amp;Suivi&amp;Législation'!AO55</f>
        <v>0</v>
      </c>
      <c r="H54" s="369">
        <f>'Politiques&amp;Suivi&amp;Législation'!AP55</f>
        <v>0</v>
      </c>
      <c r="I54" s="369">
        <f>'Politiques&amp;Suivi&amp;Législation'!AQ55</f>
        <v>0</v>
      </c>
      <c r="J54" s="369">
        <f>'Politiques&amp;Suivi&amp;Législation'!AR55</f>
        <v>0</v>
      </c>
      <c r="K54" s="369">
        <f>'Politiques&amp;Suivi&amp;Législation'!AS55</f>
        <v>0</v>
      </c>
      <c r="L54" s="369">
        <f>'Politiques&amp;Suivi&amp;Législation'!AT55</f>
        <v>9120</v>
      </c>
    </row>
    <row r="55" spans="1:19" ht="25.5" x14ac:dyDescent="0.2">
      <c r="A55" s="855">
        <v>2.4</v>
      </c>
      <c r="B55" s="856" t="s">
        <v>623</v>
      </c>
      <c r="C55" s="401" t="s">
        <v>50</v>
      </c>
      <c r="D55" s="401" t="str">
        <f>'Politiques&amp;Suivi&amp;Législation'!F56</f>
        <v>Analyse du degré de compréhension des impacts estimés des actes.</v>
      </c>
      <c r="E55" s="553"/>
      <c r="F55" s="369">
        <f>'Politiques&amp;Suivi&amp;Législation'!AN56</f>
        <v>88000</v>
      </c>
      <c r="G55" s="369">
        <f>'Politiques&amp;Suivi&amp;Législation'!AO56</f>
        <v>0</v>
      </c>
      <c r="H55" s="369">
        <f>'Politiques&amp;Suivi&amp;Législation'!AP56</f>
        <v>0</v>
      </c>
      <c r="I55" s="369">
        <f>'Politiques&amp;Suivi&amp;Législation'!AQ56</f>
        <v>0</v>
      </c>
      <c r="J55" s="369">
        <f>'Politiques&amp;Suivi&amp;Législation'!AR56</f>
        <v>0</v>
      </c>
      <c r="K55" s="369">
        <f>'Politiques&amp;Suivi&amp;Législation'!AS56</f>
        <v>0</v>
      </c>
      <c r="L55" s="369">
        <f>'Politiques&amp;Suivi&amp;Législation'!AT56</f>
        <v>88000</v>
      </c>
    </row>
    <row r="56" spans="1:19" ht="25.5" x14ac:dyDescent="0.2">
      <c r="A56" s="855"/>
      <c r="B56" s="856"/>
      <c r="C56" s="401" t="s">
        <v>51</v>
      </c>
      <c r="D56" s="401" t="str">
        <f>'Politiques&amp;Suivi&amp;Législation'!F57</f>
        <v>Loi sur l'AIR adoptée, rendant obligatoire l'analyse en question.</v>
      </c>
      <c r="E56" s="815" t="s">
        <v>694</v>
      </c>
      <c r="F56" s="369">
        <f>'Politiques&amp;Suivi&amp;Législation'!AN57</f>
        <v>0</v>
      </c>
      <c r="G56" s="369">
        <f>'Politiques&amp;Suivi&amp;Législation'!AO57</f>
        <v>0</v>
      </c>
      <c r="H56" s="369">
        <f>'Politiques&amp;Suivi&amp;Législation'!AP57</f>
        <v>0</v>
      </c>
      <c r="I56" s="369">
        <f>'Politiques&amp;Suivi&amp;Législation'!AQ57</f>
        <v>0</v>
      </c>
      <c r="J56" s="369">
        <f>'Politiques&amp;Suivi&amp;Législation'!AR57</f>
        <v>0</v>
      </c>
      <c r="K56" s="369">
        <f>'Politiques&amp;Suivi&amp;Législation'!AS57</f>
        <v>0</v>
      </c>
      <c r="L56" s="369">
        <f>'Politiques&amp;Suivi&amp;Législation'!AT57</f>
        <v>0</v>
      </c>
    </row>
    <row r="57" spans="1:19" ht="63" customHeight="1" x14ac:dyDescent="0.2">
      <c r="A57" s="855"/>
      <c r="B57" s="856"/>
      <c r="C57" s="401" t="s">
        <v>52</v>
      </c>
      <c r="D57" s="401" t="str">
        <f>'Politiques&amp;Suivi&amp;Législation'!F58</f>
        <v xml:space="preserve">et X AIR menées/essayées sous la loi adoptée (projets dans X institutions pour X questions). </v>
      </c>
      <c r="E57" s="773" t="s">
        <v>30</v>
      </c>
      <c r="F57" s="369">
        <f>'Politiques&amp;Suivi&amp;Législation'!AN58</f>
        <v>184000</v>
      </c>
      <c r="G57" s="369">
        <f>'Politiques&amp;Suivi&amp;Législation'!AO58</f>
        <v>0</v>
      </c>
      <c r="H57" s="369">
        <f>'Politiques&amp;Suivi&amp;Législation'!AP58</f>
        <v>0</v>
      </c>
      <c r="I57" s="369">
        <f>'Politiques&amp;Suivi&amp;Législation'!AQ58</f>
        <v>0</v>
      </c>
      <c r="J57" s="369">
        <f>'Politiques&amp;Suivi&amp;Législation'!AR58</f>
        <v>0</v>
      </c>
      <c r="K57" s="369">
        <f>'Politiques&amp;Suivi&amp;Législation'!AS58</f>
        <v>0</v>
      </c>
      <c r="L57" s="369">
        <f>'Politiques&amp;Suivi&amp;Législation'!AT58</f>
        <v>184000</v>
      </c>
    </row>
    <row r="58" spans="1:19" ht="39" customHeight="1" x14ac:dyDescent="0.2">
      <c r="A58" s="855">
        <v>2.5</v>
      </c>
      <c r="B58" s="856" t="s">
        <v>622</v>
      </c>
      <c r="C58" s="401" t="s">
        <v>84</v>
      </c>
      <c r="D58" s="401" t="str">
        <f>'Politiques&amp;Suivi&amp;Législation'!F59</f>
        <v>Formation en rédaction législative pour les services centraux</v>
      </c>
      <c r="E58" s="553"/>
      <c r="F58" s="369">
        <f>'Politiques&amp;Suivi&amp;Législation'!AN59</f>
        <v>30825</v>
      </c>
      <c r="G58" s="369">
        <f>'Politiques&amp;Suivi&amp;Législation'!AO59</f>
        <v>0</v>
      </c>
      <c r="H58" s="369">
        <f>'Politiques&amp;Suivi&amp;Législation'!AP59</f>
        <v>0</v>
      </c>
      <c r="I58" s="369">
        <f>'Politiques&amp;Suivi&amp;Législation'!AQ59</f>
        <v>0</v>
      </c>
      <c r="J58" s="369">
        <f>'Politiques&amp;Suivi&amp;Législation'!AR59</f>
        <v>0</v>
      </c>
      <c r="K58" s="369">
        <f>'Politiques&amp;Suivi&amp;Législation'!AS59</f>
        <v>0</v>
      </c>
      <c r="L58" s="369">
        <f>'Politiques&amp;Suivi&amp;Législation'!AT59</f>
        <v>30825</v>
      </c>
    </row>
    <row r="59" spans="1:19" ht="39.75" customHeight="1" x14ac:dyDescent="0.2">
      <c r="A59" s="855"/>
      <c r="B59" s="856"/>
      <c r="C59" s="401" t="s">
        <v>85</v>
      </c>
      <c r="D59" s="401" t="str">
        <f>'Politiques&amp;Suivi&amp;Législation'!F60</f>
        <v>Formation en rédaction législative pour les ministères sectoriels</v>
      </c>
      <c r="E59" s="553"/>
      <c r="F59" s="369">
        <f>'Politiques&amp;Suivi&amp;Législation'!AN60</f>
        <v>5190</v>
      </c>
      <c r="G59" s="369">
        <f>'Politiques&amp;Suivi&amp;Législation'!AO60</f>
        <v>0</v>
      </c>
      <c r="H59" s="369">
        <f>'Politiques&amp;Suivi&amp;Législation'!AP60</f>
        <v>0</v>
      </c>
      <c r="I59" s="369">
        <f>'Politiques&amp;Suivi&amp;Législation'!AQ60</f>
        <v>0</v>
      </c>
      <c r="J59" s="369">
        <f>'Politiques&amp;Suivi&amp;Législation'!AR60</f>
        <v>0</v>
      </c>
      <c r="K59" s="369">
        <f>'Politiques&amp;Suivi&amp;Législation'!AS60</f>
        <v>0</v>
      </c>
      <c r="L59" s="369">
        <f>'Politiques&amp;Suivi&amp;Législation'!AT60</f>
        <v>5190</v>
      </c>
    </row>
    <row r="60" spans="1:19" ht="39.75" customHeight="1" x14ac:dyDescent="0.2">
      <c r="A60" s="855"/>
      <c r="B60" s="856"/>
      <c r="C60" s="401" t="s">
        <v>86</v>
      </c>
      <c r="D60" s="401" t="str">
        <f>'Politiques&amp;Suivi&amp;Législation'!F61</f>
        <v>Formation en rédaction législative pour les institutions indépendantes</v>
      </c>
      <c r="E60" s="553"/>
      <c r="F60" s="369">
        <f>'Politiques&amp;Suivi&amp;Législation'!AN61</f>
        <v>3095</v>
      </c>
      <c r="G60" s="369">
        <f>'Politiques&amp;Suivi&amp;Législation'!AO61</f>
        <v>0</v>
      </c>
      <c r="H60" s="369">
        <f>'Politiques&amp;Suivi&amp;Législation'!AP61</f>
        <v>0</v>
      </c>
      <c r="I60" s="369">
        <f>'Politiques&amp;Suivi&amp;Législation'!AQ61</f>
        <v>0</v>
      </c>
      <c r="J60" s="369">
        <f>'Politiques&amp;Suivi&amp;Législation'!AR61</f>
        <v>0</v>
      </c>
      <c r="K60" s="369">
        <f>'Politiques&amp;Suivi&amp;Législation'!AS61</f>
        <v>0</v>
      </c>
      <c r="L60" s="369">
        <f>'Politiques&amp;Suivi&amp;Législation'!AT61</f>
        <v>3095</v>
      </c>
    </row>
    <row r="61" spans="1:19" ht="38.25" x14ac:dyDescent="0.2">
      <c r="A61" s="855">
        <v>2.6</v>
      </c>
      <c r="B61" s="856" t="s">
        <v>624</v>
      </c>
      <c r="C61" s="401" t="s">
        <v>87</v>
      </c>
      <c r="D61" s="401" t="str">
        <f>'Politiques&amp;Suivi&amp;Législation'!F62</f>
        <v>Obligation (Instruction) du service officiel des publications de publier les lois consolidées.</v>
      </c>
      <c r="E61" s="553"/>
      <c r="F61" s="369">
        <f>'Politiques&amp;Suivi&amp;Législation'!AN62</f>
        <v>25000</v>
      </c>
      <c r="G61" s="369">
        <f>'Politiques&amp;Suivi&amp;Législation'!AO62</f>
        <v>0</v>
      </c>
      <c r="H61" s="369">
        <f>'Politiques&amp;Suivi&amp;Législation'!AP62</f>
        <v>0</v>
      </c>
      <c r="I61" s="369">
        <f>'Politiques&amp;Suivi&amp;Législation'!AQ62</f>
        <v>0</v>
      </c>
      <c r="J61" s="369">
        <f>'Politiques&amp;Suivi&amp;Législation'!AR62</f>
        <v>0</v>
      </c>
      <c r="K61" s="369">
        <f>'Politiques&amp;Suivi&amp;Législation'!AS62</f>
        <v>0</v>
      </c>
      <c r="L61" s="369">
        <f>'Politiques&amp;Suivi&amp;Législation'!AT62</f>
        <v>25000</v>
      </c>
    </row>
    <row r="62" spans="1:19" ht="25.5" x14ac:dyDescent="0.2">
      <c r="A62" s="855"/>
      <c r="B62" s="856"/>
      <c r="C62" s="401" t="s">
        <v>88</v>
      </c>
      <c r="D62" s="401" t="str">
        <f>'Politiques&amp;Suivi&amp;Législation'!F63</f>
        <v xml:space="preserve">Chaque institution devra avoir posté les lois consolidées sur son site internet en 2015. </v>
      </c>
      <c r="E62" s="553"/>
      <c r="F62" s="369">
        <f>'Politiques&amp;Suivi&amp;Législation'!AN63</f>
        <v>190000</v>
      </c>
      <c r="G62" s="369">
        <f>'Politiques&amp;Suivi&amp;Législation'!AO63</f>
        <v>0</v>
      </c>
      <c r="H62" s="369">
        <f>'Politiques&amp;Suivi&amp;Législation'!AP63</f>
        <v>0</v>
      </c>
      <c r="I62" s="369">
        <f>'Politiques&amp;Suivi&amp;Législation'!AQ63</f>
        <v>0</v>
      </c>
      <c r="J62" s="369">
        <f>'Politiques&amp;Suivi&amp;Législation'!AR63</f>
        <v>0</v>
      </c>
      <c r="K62" s="369">
        <f>'Politiques&amp;Suivi&amp;Législation'!AS63</f>
        <v>0</v>
      </c>
      <c r="L62" s="369">
        <f>'Politiques&amp;Suivi&amp;Législation'!AT63</f>
        <v>190000</v>
      </c>
    </row>
    <row r="63" spans="1:19" ht="15.75" customHeight="1" x14ac:dyDescent="0.2">
      <c r="A63" s="378"/>
      <c r="B63" s="860" t="s">
        <v>558</v>
      </c>
      <c r="C63" s="861"/>
      <c r="D63" s="862"/>
      <c r="E63" s="558"/>
      <c r="F63" s="379">
        <f t="shared" ref="F63:L63" si="2">SUM(F43:F62)</f>
        <v>789330</v>
      </c>
      <c r="G63" s="379">
        <f t="shared" si="2"/>
        <v>7500</v>
      </c>
      <c r="H63" s="379">
        <f t="shared" si="2"/>
        <v>0</v>
      </c>
      <c r="I63" s="379">
        <f t="shared" si="2"/>
        <v>0</v>
      </c>
      <c r="J63" s="379">
        <f t="shared" si="2"/>
        <v>0</v>
      </c>
      <c r="K63" s="379">
        <f t="shared" si="2"/>
        <v>0</v>
      </c>
      <c r="L63" s="379">
        <f t="shared" si="2"/>
        <v>781830</v>
      </c>
      <c r="M63" s="482">
        <f>'Politiques&amp;Suivi&amp;Législation'!AN64+'Transparence &amp; Anti-corruption '!AL11</f>
        <v>789330</v>
      </c>
      <c r="N63" s="482">
        <f>'Politiques&amp;Suivi&amp;Législation'!AO64+'Transparence &amp; Anti-corruption '!AM11</f>
        <v>7500</v>
      </c>
      <c r="O63" s="482">
        <f>'Politiques&amp;Suivi&amp;Législation'!AP64+'Transparence &amp; Anti-corruption '!AN11</f>
        <v>0</v>
      </c>
      <c r="P63" s="482">
        <f>'Politiques&amp;Suivi&amp;Législation'!AQ64+'Transparence &amp; Anti-corruption '!AO11</f>
        <v>0</v>
      </c>
      <c r="Q63" s="482">
        <f>'Politiques&amp;Suivi&amp;Législation'!AR64+'Transparence &amp; Anti-corruption '!AP11</f>
        <v>0</v>
      </c>
      <c r="R63" s="482">
        <f>'Politiques&amp;Suivi&amp;Législation'!AS64+'Transparence &amp; Anti-corruption '!AQ11</f>
        <v>0</v>
      </c>
      <c r="S63" s="482">
        <f>'Politiques&amp;Suivi&amp;Législation'!AT64+'Transparence &amp; Anti-corruption '!AR11</f>
        <v>781830</v>
      </c>
    </row>
    <row r="64" spans="1:19" ht="46.5" customHeight="1" x14ac:dyDescent="0.2">
      <c r="A64" s="380">
        <v>3</v>
      </c>
      <c r="B64" s="852" t="s">
        <v>635</v>
      </c>
      <c r="C64" s="853"/>
      <c r="D64" s="853"/>
      <c r="E64" s="853"/>
      <c r="F64" s="853"/>
      <c r="G64" s="853"/>
      <c r="H64" s="853"/>
      <c r="I64" s="853"/>
      <c r="J64" s="853"/>
      <c r="K64" s="853"/>
      <c r="L64" s="854"/>
      <c r="M64" s="481">
        <f>F63-M63</f>
        <v>0</v>
      </c>
      <c r="N64" s="481">
        <f t="shared" ref="N64:S64" si="3">G63-N63</f>
        <v>0</v>
      </c>
      <c r="O64" s="481">
        <f t="shared" si="3"/>
        <v>0</v>
      </c>
      <c r="P64" s="481">
        <f t="shared" si="3"/>
        <v>0</v>
      </c>
      <c r="Q64" s="481">
        <f t="shared" si="3"/>
        <v>0</v>
      </c>
      <c r="R64" s="481">
        <f t="shared" si="3"/>
        <v>0</v>
      </c>
      <c r="S64" s="481">
        <f t="shared" si="3"/>
        <v>0</v>
      </c>
    </row>
    <row r="65" spans="1:12" ht="45.75" customHeight="1" x14ac:dyDescent="0.2">
      <c r="A65" s="855">
        <v>3.1</v>
      </c>
      <c r="B65" s="885" t="s">
        <v>636</v>
      </c>
      <c r="C65" s="401" t="s">
        <v>19</v>
      </c>
      <c r="D65" s="401" t="str">
        <f>'Politiques&amp;Suivi&amp;Législation'!F66</f>
        <v xml:space="preserve">Analyse de l'évaluation de la situation actuelle concernant le suivi des stratégies sectorielles et transversales  </v>
      </c>
      <c r="E65" s="553"/>
      <c r="F65" s="369">
        <f>'Politiques&amp;Suivi&amp;Législation'!AN66</f>
        <v>62500</v>
      </c>
      <c r="G65" s="369">
        <f>'Politiques&amp;Suivi&amp;Législation'!AO66</f>
        <v>0</v>
      </c>
      <c r="H65" s="369">
        <f>'Politiques&amp;Suivi&amp;Législation'!AP66</f>
        <v>0</v>
      </c>
      <c r="I65" s="369">
        <f>'Politiques&amp;Suivi&amp;Législation'!AQ66</f>
        <v>0</v>
      </c>
      <c r="J65" s="369">
        <f>'Politiques&amp;Suivi&amp;Législation'!AR66</f>
        <v>0</v>
      </c>
      <c r="K65" s="369">
        <f>'Politiques&amp;Suivi&amp;Législation'!AS66</f>
        <v>0</v>
      </c>
      <c r="L65" s="369">
        <f>'Politiques&amp;Suivi&amp;Législation'!AT66</f>
        <v>62500</v>
      </c>
    </row>
    <row r="66" spans="1:12" ht="45.75" customHeight="1" x14ac:dyDescent="0.2">
      <c r="A66" s="855"/>
      <c r="B66" s="885"/>
      <c r="C66" s="401" t="s">
        <v>20</v>
      </c>
      <c r="D66" s="401" t="str">
        <f>'Politiques&amp;Suivi&amp;Législation'!F67</f>
        <v xml:space="preserve">Examen de la base juridique permettant le suivi des stratégies sectorielles et transversales </v>
      </c>
      <c r="E66" s="553"/>
      <c r="F66" s="369">
        <f>'Politiques&amp;Suivi&amp;Législation'!AN67</f>
        <v>59000</v>
      </c>
      <c r="G66" s="369">
        <f>'Politiques&amp;Suivi&amp;Législation'!AO67</f>
        <v>0</v>
      </c>
      <c r="H66" s="369">
        <f>'Politiques&amp;Suivi&amp;Législation'!AP67</f>
        <v>0</v>
      </c>
      <c r="I66" s="369">
        <f>'Politiques&amp;Suivi&amp;Législation'!AQ67</f>
        <v>0</v>
      </c>
      <c r="J66" s="369">
        <f>'Politiques&amp;Suivi&amp;Législation'!AR67</f>
        <v>0</v>
      </c>
      <c r="K66" s="369">
        <f>'Politiques&amp;Suivi&amp;Législation'!AS67</f>
        <v>0</v>
      </c>
      <c r="L66" s="369">
        <f>'Politiques&amp;Suivi&amp;Législation'!AT67</f>
        <v>59000</v>
      </c>
    </row>
    <row r="67" spans="1:12" ht="40.5" customHeight="1" x14ac:dyDescent="0.2">
      <c r="A67" s="855"/>
      <c r="B67" s="885"/>
      <c r="C67" s="401" t="s">
        <v>21</v>
      </c>
      <c r="D67" s="401" t="str">
        <f>'Politiques&amp;Suivi&amp;Législation'!F68</f>
        <v>Analyse de l'évaluation de la situation existante en matière de suivi et d'évaluation (S &amp;E) (structures et ressources humaines)</v>
      </c>
      <c r="E67" s="553"/>
      <c r="F67" s="369">
        <f>'Politiques&amp;Suivi&amp;Législation'!AN68</f>
        <v>91000</v>
      </c>
      <c r="G67" s="369">
        <f>'Politiques&amp;Suivi&amp;Législation'!AO68</f>
        <v>0</v>
      </c>
      <c r="H67" s="369">
        <f>'Politiques&amp;Suivi&amp;Législation'!AP68</f>
        <v>0</v>
      </c>
      <c r="I67" s="369">
        <f>'Politiques&amp;Suivi&amp;Législation'!AQ68</f>
        <v>0</v>
      </c>
      <c r="J67" s="369">
        <f>'Politiques&amp;Suivi&amp;Législation'!AR68</f>
        <v>0</v>
      </c>
      <c r="K67" s="369">
        <f>'Politiques&amp;Suivi&amp;Législation'!AS68</f>
        <v>0</v>
      </c>
      <c r="L67" s="369">
        <f>'Politiques&amp;Suivi&amp;Législation'!AT68</f>
        <v>91000</v>
      </c>
    </row>
    <row r="68" spans="1:12" ht="39" customHeight="1" x14ac:dyDescent="0.2">
      <c r="A68" s="855"/>
      <c r="B68" s="885"/>
      <c r="C68" s="401" t="s">
        <v>93</v>
      </c>
      <c r="D68" s="401" t="str">
        <f>'Politiques&amp;Suivi&amp;Législation'!F69</f>
        <v>Analyse de l'évaluation du cadre juridique actuel et de la méthodologie de S &amp;E</v>
      </c>
      <c r="E68" s="553"/>
      <c r="F68" s="369">
        <f>'Politiques&amp;Suivi&amp;Législation'!AN69</f>
        <v>42000</v>
      </c>
      <c r="G68" s="369">
        <f>'Politiques&amp;Suivi&amp;Législation'!AO69</f>
        <v>0</v>
      </c>
      <c r="H68" s="369">
        <f>'Politiques&amp;Suivi&amp;Législation'!AP69</f>
        <v>0</v>
      </c>
      <c r="I68" s="369">
        <f>'Politiques&amp;Suivi&amp;Législation'!AQ69</f>
        <v>0</v>
      </c>
      <c r="J68" s="369">
        <f>'Politiques&amp;Suivi&amp;Législation'!AR69</f>
        <v>0</v>
      </c>
      <c r="K68" s="369">
        <f>'Politiques&amp;Suivi&amp;Législation'!AS69</f>
        <v>0</v>
      </c>
      <c r="L68" s="369">
        <f>'Politiques&amp;Suivi&amp;Législation'!AT69</f>
        <v>42000</v>
      </c>
    </row>
    <row r="69" spans="1:12" ht="36" customHeight="1" x14ac:dyDescent="0.2">
      <c r="A69" s="855"/>
      <c r="B69" s="885"/>
      <c r="C69" s="401" t="s">
        <v>94</v>
      </c>
      <c r="D69" s="401" t="str">
        <f>'Politiques&amp;Suivi&amp;Législation'!F70</f>
        <v xml:space="preserve">Analyse de l'évaluation des besoins en formation pour les structures de S &amp;E. </v>
      </c>
      <c r="E69" s="553"/>
      <c r="F69" s="369">
        <f>'Politiques&amp;Suivi&amp;Législation'!AN70</f>
        <v>72250</v>
      </c>
      <c r="G69" s="369">
        <f>'Politiques&amp;Suivi&amp;Législation'!AO70</f>
        <v>0</v>
      </c>
      <c r="H69" s="369">
        <f>'Politiques&amp;Suivi&amp;Législation'!AP70</f>
        <v>0</v>
      </c>
      <c r="I69" s="369">
        <f>'Politiques&amp;Suivi&amp;Législation'!AQ70</f>
        <v>0</v>
      </c>
      <c r="J69" s="369">
        <f>'Politiques&amp;Suivi&amp;Législation'!AR70</f>
        <v>0</v>
      </c>
      <c r="K69" s="369">
        <f>'Politiques&amp;Suivi&amp;Législation'!AS70</f>
        <v>0</v>
      </c>
      <c r="L69" s="369">
        <f>'Politiques&amp;Suivi&amp;Législation'!AT70</f>
        <v>72250</v>
      </c>
    </row>
    <row r="70" spans="1:12" ht="34.5" customHeight="1" x14ac:dyDescent="0.2">
      <c r="A70" s="855"/>
      <c r="B70" s="885"/>
      <c r="C70" s="401" t="s">
        <v>95</v>
      </c>
      <c r="D70" s="401" t="str">
        <f>'Politiques&amp;Suivi&amp;Législation'!F71</f>
        <v xml:space="preserve">Formation du personnel des Unités de suivi du Bureau du Premier ministre et des ministères sectoriels </v>
      </c>
      <c r="E70" s="553"/>
      <c r="F70" s="369">
        <f>'Politiques&amp;Suivi&amp;Législation'!AN71</f>
        <v>0</v>
      </c>
      <c r="G70" s="369">
        <f>'Politiques&amp;Suivi&amp;Législation'!AO71</f>
        <v>0</v>
      </c>
      <c r="H70" s="369">
        <f>'Politiques&amp;Suivi&amp;Législation'!AP71</f>
        <v>0</v>
      </c>
      <c r="I70" s="369">
        <f>'Politiques&amp;Suivi&amp;Législation'!AQ71</f>
        <v>0</v>
      </c>
      <c r="J70" s="369">
        <f>'Politiques&amp;Suivi&amp;Législation'!AR71</f>
        <v>0</v>
      </c>
      <c r="K70" s="369">
        <f>'Politiques&amp;Suivi&amp;Législation'!AS71</f>
        <v>0</v>
      </c>
      <c r="L70" s="369">
        <f>'Politiques&amp;Suivi&amp;Législation'!AT71</f>
        <v>0</v>
      </c>
    </row>
    <row r="71" spans="1:12" ht="99" customHeight="1" x14ac:dyDescent="0.2">
      <c r="A71" s="855">
        <v>3.2</v>
      </c>
      <c r="B71" s="865" t="s">
        <v>683</v>
      </c>
      <c r="C71" s="401" t="s">
        <v>22</v>
      </c>
      <c r="D71" s="401" t="str">
        <f>'Politiques&amp;Suivi&amp;Législation'!F72</f>
        <v xml:space="preserve">Publication de rapports annuels des ministères sectoriels sur la mise en œuvre des stratégies sectorielles/transversales respectives, de la NSDI, ainsi que du DPFDDAE. </v>
      </c>
      <c r="E71" s="553"/>
      <c r="F71" s="369">
        <f>'Politiques&amp;Suivi&amp;Législation'!AN72</f>
        <v>144000</v>
      </c>
      <c r="G71" s="369">
        <f>'Politiques&amp;Suivi&amp;Législation'!AO72</f>
        <v>0</v>
      </c>
      <c r="H71" s="369">
        <f>'Politiques&amp;Suivi&amp;Législation'!AP72</f>
        <v>0</v>
      </c>
      <c r="I71" s="369">
        <f>'Politiques&amp;Suivi&amp;Législation'!AQ72</f>
        <v>0</v>
      </c>
      <c r="J71" s="369">
        <f>'Politiques&amp;Suivi&amp;Législation'!AR72</f>
        <v>0</v>
      </c>
      <c r="K71" s="369">
        <f>'Politiques&amp;Suivi&amp;Législation'!AS72</f>
        <v>0</v>
      </c>
      <c r="L71" s="369">
        <f>'Politiques&amp;Suivi&amp;Législation'!AT72</f>
        <v>144000</v>
      </c>
    </row>
    <row r="72" spans="1:12" ht="60.75" customHeight="1" x14ac:dyDescent="0.2">
      <c r="A72" s="855"/>
      <c r="B72" s="886"/>
      <c r="C72" s="401" t="s">
        <v>23</v>
      </c>
      <c r="D72" s="401" t="str">
        <f>'Politiques&amp;Suivi&amp;Législation'!F73</f>
        <v>Rédaction d'un nouveau cadre juridique pour le système de suivi et d'évaluation.</v>
      </c>
      <c r="E72" s="553"/>
      <c r="F72" s="369">
        <f>'Politiques&amp;Suivi&amp;Législation'!AN73</f>
        <v>69500</v>
      </c>
      <c r="G72" s="369">
        <f>'Politiques&amp;Suivi&amp;Législation'!AO73</f>
        <v>0</v>
      </c>
      <c r="H72" s="369">
        <f>'Politiques&amp;Suivi&amp;Législation'!AP73</f>
        <v>0</v>
      </c>
      <c r="I72" s="369">
        <f>'Politiques&amp;Suivi&amp;Législation'!AQ73</f>
        <v>0</v>
      </c>
      <c r="J72" s="369">
        <f>'Politiques&amp;Suivi&amp;Législation'!AR73</f>
        <v>0</v>
      </c>
      <c r="K72" s="369">
        <f>'Politiques&amp;Suivi&amp;Législation'!AS73</f>
        <v>0</v>
      </c>
      <c r="L72" s="369">
        <f>'Politiques&amp;Suivi&amp;Législation'!AT73</f>
        <v>69500</v>
      </c>
    </row>
    <row r="73" spans="1:12" ht="36.75" customHeight="1" x14ac:dyDescent="0.2">
      <c r="A73" s="855"/>
      <c r="B73" s="886"/>
      <c r="C73" s="401" t="s">
        <v>53</v>
      </c>
      <c r="D73" s="401" t="str">
        <f>'Politiques&amp;Suivi&amp;Législation'!F74</f>
        <v xml:space="preserve">Révision des structures des ministères en vue de la mise en œuvre sur système de S &amp; E </v>
      </c>
      <c r="E73" s="815" t="s">
        <v>694</v>
      </c>
      <c r="F73" s="369">
        <f>'Politiques&amp;Suivi&amp;Législation'!AN74</f>
        <v>0</v>
      </c>
      <c r="G73" s="369">
        <f>'Politiques&amp;Suivi&amp;Législation'!AO74</f>
        <v>0</v>
      </c>
      <c r="H73" s="369">
        <f>'Politiques&amp;Suivi&amp;Législation'!AP74</f>
        <v>0</v>
      </c>
      <c r="I73" s="369">
        <f>'Politiques&amp;Suivi&amp;Législation'!AQ74</f>
        <v>0</v>
      </c>
      <c r="J73" s="369">
        <f>'Politiques&amp;Suivi&amp;Législation'!AR74</f>
        <v>0</v>
      </c>
      <c r="K73" s="369">
        <f>'Politiques&amp;Suivi&amp;Législation'!AS74</f>
        <v>0</v>
      </c>
      <c r="L73" s="369">
        <f>'Politiques&amp;Suivi&amp;Législation'!AT74</f>
        <v>0</v>
      </c>
    </row>
    <row r="74" spans="1:12" ht="56.25" customHeight="1" x14ac:dyDescent="0.2">
      <c r="A74" s="855"/>
      <c r="B74" s="866"/>
      <c r="C74" s="401" t="s">
        <v>54</v>
      </c>
      <c r="D74" s="401" t="str">
        <f>'Politiques&amp;Suivi&amp;Législation'!F75</f>
        <v xml:space="preserve">Mise en place d'un réseau de S &amp; E et renforcement des compétences (formation) </v>
      </c>
      <c r="E74" s="773" t="s">
        <v>637</v>
      </c>
      <c r="F74" s="369">
        <f>'Politiques&amp;Suivi&amp;Législation'!AN75</f>
        <v>0</v>
      </c>
      <c r="G74" s="369">
        <f>'Politiques&amp;Suivi&amp;Législation'!AO75</f>
        <v>0</v>
      </c>
      <c r="H74" s="369">
        <f>'Politiques&amp;Suivi&amp;Législation'!AP75</f>
        <v>0</v>
      </c>
      <c r="I74" s="369">
        <f>'Politiques&amp;Suivi&amp;Législation'!AQ75</f>
        <v>0</v>
      </c>
      <c r="J74" s="369">
        <f>'Politiques&amp;Suivi&amp;Législation'!AR75</f>
        <v>0</v>
      </c>
      <c r="K74" s="369">
        <f>'Politiques&amp;Suivi&amp;Législation'!AS75</f>
        <v>0</v>
      </c>
      <c r="L74" s="369">
        <f>'Politiques&amp;Suivi&amp;Législation'!AT75</f>
        <v>0</v>
      </c>
    </row>
    <row r="75" spans="1:12" ht="45" customHeight="1" x14ac:dyDescent="0.2">
      <c r="A75" s="855">
        <v>3.3</v>
      </c>
      <c r="B75" s="911" t="s">
        <v>705</v>
      </c>
      <c r="C75" s="401" t="s">
        <v>121</v>
      </c>
      <c r="D75" s="401" t="str">
        <f>'Politiques&amp;Suivi&amp;Législation'!F76</f>
        <v>Manuel sur le suivi des stratégies sectorielles/transversales (EMP) et Manuel de formation pour l'administration (FdF)</v>
      </c>
      <c r="E75" s="553"/>
      <c r="F75" s="369">
        <f>'Politiques&amp;Suivi&amp;Législation'!AN76</f>
        <v>61500</v>
      </c>
      <c r="G75" s="369">
        <f>'Politiques&amp;Suivi&amp;Législation'!AO76</f>
        <v>0</v>
      </c>
      <c r="H75" s="369">
        <f>'Politiques&amp;Suivi&amp;Législation'!AP76</f>
        <v>0</v>
      </c>
      <c r="I75" s="369">
        <f>'Politiques&amp;Suivi&amp;Législation'!AQ76</f>
        <v>0</v>
      </c>
      <c r="J75" s="369">
        <f>'Politiques&amp;Suivi&amp;Législation'!AR76</f>
        <v>61500</v>
      </c>
      <c r="K75" s="369">
        <f>'Politiques&amp;Suivi&amp;Législation'!AS76</f>
        <v>0</v>
      </c>
      <c r="L75" s="369">
        <f>'Politiques&amp;Suivi&amp;Législation'!AT76</f>
        <v>0</v>
      </c>
    </row>
    <row r="76" spans="1:12" ht="40.5" customHeight="1" x14ac:dyDescent="0.2">
      <c r="A76" s="855"/>
      <c r="B76" s="912"/>
      <c r="C76" s="401" t="s">
        <v>122</v>
      </c>
      <c r="D76" s="401" t="str">
        <f>'Politiques&amp;Suivi&amp;Législation'!F77</f>
        <v xml:space="preserve">Renforcement des compétences du DPFDDAE concernant la rédaction des rapports de synthèse annuels sur la mise en œuvre du cadre stratégique (ToT) </v>
      </c>
      <c r="E76" s="553"/>
      <c r="F76" s="369">
        <f>'Politiques&amp;Suivi&amp;Législation'!AN77</f>
        <v>11400</v>
      </c>
      <c r="G76" s="369">
        <f>'Politiques&amp;Suivi&amp;Législation'!AO77</f>
        <v>0</v>
      </c>
      <c r="H76" s="369">
        <f>'Politiques&amp;Suivi&amp;Législation'!AP77</f>
        <v>0</v>
      </c>
      <c r="I76" s="369">
        <f>'Politiques&amp;Suivi&amp;Législation'!AQ77</f>
        <v>0</v>
      </c>
      <c r="J76" s="369">
        <f>'Politiques&amp;Suivi&amp;Législation'!AR77</f>
        <v>11400</v>
      </c>
      <c r="K76" s="369">
        <f>'Politiques&amp;Suivi&amp;Législation'!AS77</f>
        <v>0</v>
      </c>
      <c r="L76" s="369">
        <f>'Politiques&amp;Suivi&amp;Législation'!AT77</f>
        <v>0</v>
      </c>
    </row>
    <row r="77" spans="1:12" ht="30" customHeight="1" x14ac:dyDescent="0.2">
      <c r="A77" s="855"/>
      <c r="B77" s="912"/>
      <c r="C77" s="401" t="s">
        <v>123</v>
      </c>
      <c r="D77" s="401" t="str">
        <f>'Politiques&amp;Suivi&amp;Législation'!F78</f>
        <v xml:space="preserve">Renforcement des compétences des ministères sectoriels pour établir les rapports EMP  </v>
      </c>
      <c r="E77" s="553"/>
      <c r="F77" s="369">
        <f>'Politiques&amp;Suivi&amp;Législation'!AN78</f>
        <v>92800</v>
      </c>
      <c r="G77" s="369">
        <f>'Politiques&amp;Suivi&amp;Législation'!AO78</f>
        <v>0</v>
      </c>
      <c r="H77" s="369">
        <f>'Politiques&amp;Suivi&amp;Législation'!AP78</f>
        <v>0</v>
      </c>
      <c r="I77" s="369">
        <f>'Politiques&amp;Suivi&amp;Législation'!AQ78</f>
        <v>0</v>
      </c>
      <c r="J77" s="369">
        <f>'Politiques&amp;Suivi&amp;Législation'!AR78</f>
        <v>0</v>
      </c>
      <c r="K77" s="369">
        <f>'Politiques&amp;Suivi&amp;Législation'!AS78</f>
        <v>0</v>
      </c>
      <c r="L77" s="369">
        <f>'Politiques&amp;Suivi&amp;Législation'!AT78</f>
        <v>92800</v>
      </c>
    </row>
    <row r="78" spans="1:12" ht="33.75" customHeight="1" x14ac:dyDescent="0.2">
      <c r="A78" s="855"/>
      <c r="B78" s="912"/>
      <c r="C78" s="401" t="s">
        <v>124</v>
      </c>
      <c r="D78" s="401" t="str">
        <f>'Politiques&amp;Suivi&amp;Législation'!F79</f>
        <v xml:space="preserve">Elabroation de la méthodologie de suivi et d'évaluation pour le Programme du gouvernement   </v>
      </c>
      <c r="E78" s="553"/>
      <c r="F78" s="369">
        <f>'Politiques&amp;Suivi&amp;Législation'!AN79</f>
        <v>64780</v>
      </c>
      <c r="G78" s="369">
        <f>'Politiques&amp;Suivi&amp;Législation'!AO79</f>
        <v>0</v>
      </c>
      <c r="H78" s="369">
        <f>'Politiques&amp;Suivi&amp;Législation'!AP79</f>
        <v>0</v>
      </c>
      <c r="I78" s="369">
        <f>'Politiques&amp;Suivi&amp;Législation'!AQ79</f>
        <v>0</v>
      </c>
      <c r="J78" s="369">
        <f>'Politiques&amp;Suivi&amp;Législation'!AR79</f>
        <v>0</v>
      </c>
      <c r="K78" s="369">
        <f>'Politiques&amp;Suivi&amp;Législation'!AS79</f>
        <v>0</v>
      </c>
      <c r="L78" s="369">
        <f>'Politiques&amp;Suivi&amp;Législation'!AT79</f>
        <v>64780</v>
      </c>
    </row>
    <row r="79" spans="1:12" ht="33" customHeight="1" x14ac:dyDescent="0.2">
      <c r="A79" s="371"/>
      <c r="B79" s="913"/>
      <c r="C79" s="401" t="s">
        <v>209</v>
      </c>
      <c r="D79" s="401" t="str">
        <f>'Politiques&amp;Suivi&amp;Législation'!F80</f>
        <v>Elabroation de la méthodologie de suivi et d'évaluation de la mise en application des lois</v>
      </c>
      <c r="E79" s="553"/>
      <c r="F79" s="369">
        <f>'Politiques&amp;Suivi&amp;Législation'!AN80</f>
        <v>80000</v>
      </c>
      <c r="G79" s="369">
        <f>'Politiques&amp;Suivi&amp;Législation'!AO80</f>
        <v>0</v>
      </c>
      <c r="H79" s="369">
        <f>'Politiques&amp;Suivi&amp;Législation'!AP80</f>
        <v>0</v>
      </c>
      <c r="I79" s="369">
        <f>'Politiques&amp;Suivi&amp;Législation'!AQ80</f>
        <v>0</v>
      </c>
      <c r="J79" s="369">
        <f>'Politiques&amp;Suivi&amp;Législation'!AR80</f>
        <v>0</v>
      </c>
      <c r="K79" s="369">
        <f>'Politiques&amp;Suivi&amp;Législation'!AS80</f>
        <v>0</v>
      </c>
      <c r="L79" s="369">
        <f>'Politiques&amp;Suivi&amp;Législation'!AT80</f>
        <v>80000</v>
      </c>
    </row>
    <row r="80" spans="1:12" ht="33" customHeight="1" x14ac:dyDescent="0.2">
      <c r="A80" s="855">
        <v>3.4</v>
      </c>
      <c r="B80" s="856" t="s">
        <v>560</v>
      </c>
      <c r="C80" s="401" t="s">
        <v>125</v>
      </c>
      <c r="D80" s="401" t="str">
        <f>'Politiques&amp;Suivi&amp;Législation'!F81</f>
        <v>Système électronique de suivi de la mise en œuvre du Programme du gouvernement</v>
      </c>
      <c r="E80" s="553"/>
      <c r="F80" s="369">
        <f>'Politiques&amp;Suivi&amp;Législation'!AN81</f>
        <v>12857.142857142857</v>
      </c>
      <c r="G80" s="369">
        <f>'Politiques&amp;Suivi&amp;Législation'!AO81</f>
        <v>12857.142857142857</v>
      </c>
      <c r="H80" s="369">
        <f>'Politiques&amp;Suivi&amp;Législation'!AP81</f>
        <v>0</v>
      </c>
      <c r="I80" s="369">
        <f>'Politiques&amp;Suivi&amp;Législation'!AQ81</f>
        <v>0</v>
      </c>
      <c r="J80" s="369">
        <f>'Politiques&amp;Suivi&amp;Législation'!AR81</f>
        <v>0</v>
      </c>
      <c r="K80" s="369">
        <f>'Politiques&amp;Suivi&amp;Législation'!AS81</f>
        <v>0</v>
      </c>
      <c r="L80" s="369">
        <f>'Politiques&amp;Suivi&amp;Législation'!AT81</f>
        <v>0</v>
      </c>
    </row>
    <row r="81" spans="1:19" ht="39" customHeight="1" x14ac:dyDescent="0.2">
      <c r="A81" s="855"/>
      <c r="B81" s="856"/>
      <c r="C81" s="401" t="s">
        <v>126</v>
      </c>
      <c r="D81" s="401" t="str">
        <f>'Politiques&amp;Suivi&amp;Législation'!F82</f>
        <v>Système électronique de suivi du flux d'information et de correspondance</v>
      </c>
      <c r="E81" s="553"/>
      <c r="F81" s="369">
        <f>'Politiques&amp;Suivi&amp;Législation'!AN82</f>
        <v>65268.257142857146</v>
      </c>
      <c r="G81" s="369">
        <f>'Politiques&amp;Suivi&amp;Législation'!AO82</f>
        <v>65268.257142857146</v>
      </c>
      <c r="H81" s="369">
        <f>'Politiques&amp;Suivi&amp;Législation'!AP82</f>
        <v>0</v>
      </c>
      <c r="I81" s="369">
        <f>'Politiques&amp;Suivi&amp;Législation'!AQ82</f>
        <v>0</v>
      </c>
      <c r="J81" s="369">
        <f>'Politiques&amp;Suivi&amp;Législation'!AR82</f>
        <v>0</v>
      </c>
      <c r="K81" s="369">
        <f>'Politiques&amp;Suivi&amp;Législation'!AS82</f>
        <v>0</v>
      </c>
      <c r="L81" s="369">
        <f>'Politiques&amp;Suivi&amp;Législation'!AT82</f>
        <v>0</v>
      </c>
    </row>
    <row r="82" spans="1:19" ht="30" customHeight="1" x14ac:dyDescent="0.2">
      <c r="A82" s="855"/>
      <c r="B82" s="856"/>
      <c r="C82" s="401" t="s">
        <v>127</v>
      </c>
      <c r="D82" s="401" t="str">
        <f>'Politiques&amp;Suivi&amp;Législation'!F83</f>
        <v xml:space="preserve">Système d'actes électroniques (système de suivi du processus de rédaction législative) </v>
      </c>
      <c r="E82" s="553"/>
      <c r="F82" s="369">
        <f>'Politiques&amp;Suivi&amp;Législation'!AN83</f>
        <v>2520</v>
      </c>
      <c r="G82" s="369">
        <f>'Politiques&amp;Suivi&amp;Législation'!AO83</f>
        <v>2520</v>
      </c>
      <c r="H82" s="369">
        <f>'Politiques&amp;Suivi&amp;Législation'!AP83</f>
        <v>0</v>
      </c>
      <c r="I82" s="369">
        <f>'Politiques&amp;Suivi&amp;Législation'!AQ83</f>
        <v>0</v>
      </c>
      <c r="J82" s="369">
        <f>'Politiques&amp;Suivi&amp;Législation'!AR83</f>
        <v>0</v>
      </c>
      <c r="K82" s="369">
        <f>'Politiques&amp;Suivi&amp;Législation'!AS83</f>
        <v>0</v>
      </c>
      <c r="L82" s="369">
        <f>'Politiques&amp;Suivi&amp;Législation'!AT83</f>
        <v>0</v>
      </c>
    </row>
    <row r="83" spans="1:19" ht="93" customHeight="1" x14ac:dyDescent="0.2">
      <c r="A83" s="855"/>
      <c r="B83" s="856"/>
      <c r="C83" s="401" t="s">
        <v>128</v>
      </c>
      <c r="D83" s="401" t="str">
        <f>'Politiques&amp;Suivi&amp;Législation'!F84</f>
        <v xml:space="preserve">Système électronique de suivi intégré "The watchtower" ("La Tour de contrôle"). </v>
      </c>
      <c r="E83" s="773" t="s">
        <v>561</v>
      </c>
      <c r="F83" s="369">
        <f>'Politiques&amp;Suivi&amp;Législation'!AN84</f>
        <v>0</v>
      </c>
      <c r="G83" s="369">
        <f>'Politiques&amp;Suivi&amp;Législation'!AO84</f>
        <v>0</v>
      </c>
      <c r="H83" s="369">
        <f>'Politiques&amp;Suivi&amp;Législation'!AP84</f>
        <v>0</v>
      </c>
      <c r="I83" s="369">
        <f>'Politiques&amp;Suivi&amp;Législation'!AQ84</f>
        <v>0</v>
      </c>
      <c r="J83" s="369">
        <f>'Politiques&amp;Suivi&amp;Législation'!AR84</f>
        <v>0</v>
      </c>
      <c r="K83" s="369">
        <f>'Politiques&amp;Suivi&amp;Législation'!AS84</f>
        <v>0</v>
      </c>
      <c r="L83" s="369">
        <f>'Politiques&amp;Suivi&amp;Législation'!AT84</f>
        <v>0</v>
      </c>
    </row>
    <row r="84" spans="1:19" ht="15.75" customHeight="1" x14ac:dyDescent="0.2">
      <c r="A84" s="378"/>
      <c r="B84" s="860" t="s">
        <v>562</v>
      </c>
      <c r="C84" s="861"/>
      <c r="D84" s="862"/>
      <c r="E84" s="558"/>
      <c r="F84" s="379">
        <f>SUM(F65:F83)</f>
        <v>931375.4</v>
      </c>
      <c r="G84" s="379">
        <f t="shared" ref="G84:L84" si="4">SUM(G65:G83)</f>
        <v>80645.400000000009</v>
      </c>
      <c r="H84" s="379">
        <f t="shared" si="4"/>
        <v>0</v>
      </c>
      <c r="I84" s="379">
        <f t="shared" si="4"/>
        <v>0</v>
      </c>
      <c r="J84" s="379">
        <f t="shared" si="4"/>
        <v>72900</v>
      </c>
      <c r="K84" s="379">
        <f t="shared" si="4"/>
        <v>0</v>
      </c>
      <c r="L84" s="379">
        <f t="shared" si="4"/>
        <v>777830</v>
      </c>
      <c r="M84" s="482">
        <f>'Politiques&amp;Suivi&amp;Législation'!AN87</f>
        <v>931375.4</v>
      </c>
      <c r="N84" s="482">
        <f>'Politiques&amp;Suivi&amp;Législation'!AO87</f>
        <v>80645.400000000009</v>
      </c>
      <c r="O84" s="482">
        <f>'Politiques&amp;Suivi&amp;Législation'!AP87</f>
        <v>0</v>
      </c>
      <c r="P84" s="482">
        <f>'Politiques&amp;Suivi&amp;Législation'!AQ87</f>
        <v>0</v>
      </c>
      <c r="Q84" s="482">
        <f>'Politiques&amp;Suivi&amp;Législation'!AR87</f>
        <v>72900</v>
      </c>
      <c r="R84" s="482">
        <f>'Politiques&amp;Suivi&amp;Législation'!AS87</f>
        <v>0</v>
      </c>
      <c r="S84" s="482">
        <f>'Politiques&amp;Suivi&amp;Législation'!AT87</f>
        <v>777830</v>
      </c>
    </row>
    <row r="85" spans="1:19" ht="40.5" customHeight="1" x14ac:dyDescent="0.2">
      <c r="A85" s="375">
        <v>4</v>
      </c>
      <c r="B85" s="849" t="s">
        <v>563</v>
      </c>
      <c r="C85" s="850"/>
      <c r="D85" s="851"/>
      <c r="E85" s="794"/>
      <c r="F85" s="376"/>
      <c r="G85" s="377"/>
      <c r="H85" s="377"/>
      <c r="I85" s="377"/>
      <c r="J85" s="377"/>
      <c r="K85" s="377"/>
      <c r="L85" s="377"/>
      <c r="M85" s="481">
        <f>F84-M84</f>
        <v>0</v>
      </c>
      <c r="N85" s="481">
        <f t="shared" ref="N85:S85" si="5">G84-N84</f>
        <v>0</v>
      </c>
      <c r="O85" s="481">
        <f t="shared" si="5"/>
        <v>0</v>
      </c>
      <c r="P85" s="481">
        <f t="shared" si="5"/>
        <v>0</v>
      </c>
      <c r="Q85" s="481">
        <f t="shared" si="5"/>
        <v>0</v>
      </c>
      <c r="R85" s="481">
        <f t="shared" si="5"/>
        <v>0</v>
      </c>
      <c r="S85" s="481">
        <f t="shared" si="5"/>
        <v>0</v>
      </c>
    </row>
    <row r="86" spans="1:19" ht="25.5" x14ac:dyDescent="0.2">
      <c r="A86" s="855">
        <v>4.0999999999999996</v>
      </c>
      <c r="B86" s="856" t="s">
        <v>564</v>
      </c>
      <c r="C86" s="401" t="s">
        <v>24</v>
      </c>
      <c r="D86" s="553" t="str">
        <f>'Fonction publique et GRH'!E9</f>
        <v>Étude et analyse du transfert des fonctions de l'État vers le marché privé de la prestation de services.</v>
      </c>
      <c r="E86" s="553"/>
      <c r="F86" s="369">
        <f>'Fonction publique et GRH'!AL9</f>
        <v>1235000</v>
      </c>
      <c r="G86" s="369">
        <f>'Fonction publique et GRH'!AM9</f>
        <v>0</v>
      </c>
      <c r="H86" s="369">
        <f>'Fonction publique et GRH'!AN9</f>
        <v>0</v>
      </c>
      <c r="I86" s="369">
        <f>'Fonction publique et GRH'!AO9</f>
        <v>0</v>
      </c>
      <c r="J86" s="369">
        <f>'Fonction publique et GRH'!AP9</f>
        <v>0</v>
      </c>
      <c r="K86" s="369">
        <f>'Fonction publique et GRH'!AQ9</f>
        <v>0</v>
      </c>
      <c r="L86" s="369">
        <f>'Fonction publique et GRH'!AR9</f>
        <v>1235000</v>
      </c>
    </row>
    <row r="87" spans="1:19" ht="25.5" x14ac:dyDescent="0.2">
      <c r="A87" s="855"/>
      <c r="B87" s="856"/>
      <c r="C87" s="401" t="s">
        <v>55</v>
      </c>
      <c r="D87" s="553" t="str">
        <f>'Fonction publique et GRH'!E10</f>
        <v>Évaluation (inventaire) des nouvelles unités de ressources humaines au niveau national.</v>
      </c>
      <c r="E87" s="553"/>
      <c r="F87" s="369">
        <f>'Fonction publique et GRH'!AL10</f>
        <v>50000</v>
      </c>
      <c r="G87" s="369">
        <f>'Fonction publique et GRH'!AM10</f>
        <v>0</v>
      </c>
      <c r="H87" s="369">
        <f>'Fonction publique et GRH'!AN10</f>
        <v>0</v>
      </c>
      <c r="I87" s="369">
        <f>'Fonction publique et GRH'!AO10</f>
        <v>0</v>
      </c>
      <c r="J87" s="369">
        <f>'Fonction publique et GRH'!AP10</f>
        <v>0</v>
      </c>
      <c r="K87" s="369">
        <f>'Fonction publique et GRH'!AQ10</f>
        <v>0</v>
      </c>
      <c r="L87" s="369">
        <f>'Fonction publique et GRH'!AR10</f>
        <v>50000</v>
      </c>
    </row>
    <row r="88" spans="1:19" ht="38.25" x14ac:dyDescent="0.2">
      <c r="A88" s="855"/>
      <c r="B88" s="856"/>
      <c r="C88" s="401" t="s">
        <v>138</v>
      </c>
      <c r="D88" s="553" t="str">
        <f>'Fonction publique et GRH'!E11</f>
        <v xml:space="preserve">Création d'un cadre fonctionnel pour les relations entre les ministères et leurs institutions subordonnées.  </v>
      </c>
      <c r="E88" s="553"/>
      <c r="F88" s="369">
        <f>'Fonction publique et GRH'!AL11</f>
        <v>541625</v>
      </c>
      <c r="G88" s="369">
        <f>'Fonction publique et GRH'!AM11</f>
        <v>0</v>
      </c>
      <c r="H88" s="369">
        <f>'Fonction publique et GRH'!AN11</f>
        <v>0</v>
      </c>
      <c r="I88" s="369">
        <f>'Fonction publique et GRH'!AO11</f>
        <v>50000</v>
      </c>
      <c r="J88" s="369">
        <f>'Fonction publique et GRH'!AP11</f>
        <v>0</v>
      </c>
      <c r="K88" s="369">
        <f>'Fonction publique et GRH'!AQ11</f>
        <v>0</v>
      </c>
      <c r="L88" s="369">
        <f>'Fonction publique et GRH'!AR11</f>
        <v>491625</v>
      </c>
    </row>
    <row r="89" spans="1:19" ht="51" x14ac:dyDescent="0.2">
      <c r="A89" s="855"/>
      <c r="B89" s="856"/>
      <c r="C89" s="401" t="s">
        <v>197</v>
      </c>
      <c r="D89" s="553" t="str">
        <f>'Fonction publique et GRH'!E12</f>
        <v>Manuel de procédures pour les procédures administratives et le système de gestion des documents dans les ministères sectoriels (IAP A.1.5).</v>
      </c>
      <c r="E89" s="553"/>
      <c r="F89" s="369">
        <f>'Fonction publique et GRH'!AL12</f>
        <v>500000</v>
      </c>
      <c r="G89" s="369">
        <f>'Fonction publique et GRH'!AM12</f>
        <v>0</v>
      </c>
      <c r="H89" s="369">
        <f>'Fonction publique et GRH'!AN12</f>
        <v>500000</v>
      </c>
      <c r="I89" s="369">
        <f>'Fonction publique et GRH'!AO12</f>
        <v>0</v>
      </c>
      <c r="J89" s="369">
        <f>'Fonction publique et GRH'!AP12</f>
        <v>0</v>
      </c>
      <c r="K89" s="369">
        <f>'Fonction publique et GRH'!AQ12</f>
        <v>0</v>
      </c>
      <c r="L89" s="369">
        <f>'Fonction publique et GRH'!AR12</f>
        <v>0</v>
      </c>
    </row>
    <row r="90" spans="1:19" ht="33.75" customHeight="1" x14ac:dyDescent="0.2">
      <c r="A90" s="855">
        <v>4.2</v>
      </c>
      <c r="B90" s="856" t="s">
        <v>704</v>
      </c>
      <c r="C90" s="401" t="s">
        <v>25</v>
      </c>
      <c r="D90" s="401" t="str">
        <f>'Fonction publique et GRH'!E13</f>
        <v xml:space="preserve">Examen du cadre juridique pertinent. </v>
      </c>
      <c r="E90" s="553"/>
      <c r="F90" s="369">
        <f>'Fonction publique et GRH'!AL13</f>
        <v>40000</v>
      </c>
      <c r="G90" s="369">
        <f>'Fonction publique et GRH'!AM13</f>
        <v>40000</v>
      </c>
      <c r="H90" s="369">
        <f>'Fonction publique et GRH'!AN13</f>
        <v>0</v>
      </c>
      <c r="I90" s="369">
        <f>'Fonction publique et GRH'!AO13</f>
        <v>0</v>
      </c>
      <c r="J90" s="369">
        <f>'Fonction publique et GRH'!AP13</f>
        <v>0</v>
      </c>
      <c r="K90" s="369">
        <f>'Fonction publique et GRH'!AQ13</f>
        <v>0</v>
      </c>
      <c r="L90" s="369">
        <f>'Fonction publique et GRH'!AR13</f>
        <v>0</v>
      </c>
    </row>
    <row r="91" spans="1:19" ht="78.599999999999994" customHeight="1" x14ac:dyDescent="0.2">
      <c r="A91" s="855"/>
      <c r="B91" s="856"/>
      <c r="C91" s="401" t="s">
        <v>26</v>
      </c>
      <c r="D91" s="401" t="str">
        <f>'Fonction publique et GRH'!E14</f>
        <v>Examen fonctionnel des institutions et adaptation à la nouvelle division territoriale.</v>
      </c>
      <c r="E91" s="553"/>
      <c r="F91" s="369">
        <f>'Fonction publique et GRH'!AL14</f>
        <v>30000</v>
      </c>
      <c r="G91" s="369">
        <f>'Fonction publique et GRH'!AM14</f>
        <v>30000</v>
      </c>
      <c r="H91" s="369">
        <f>'Fonction publique et GRH'!AN14</f>
        <v>0</v>
      </c>
      <c r="I91" s="369">
        <f>'Fonction publique et GRH'!AO14</f>
        <v>0</v>
      </c>
      <c r="J91" s="369">
        <f>'Fonction publique et GRH'!AP14</f>
        <v>0</v>
      </c>
      <c r="K91" s="369">
        <f>'Fonction publique et GRH'!AQ14</f>
        <v>0</v>
      </c>
      <c r="L91" s="369">
        <f>'Fonction publique et GRH'!AR14</f>
        <v>0</v>
      </c>
    </row>
    <row r="92" spans="1:19" ht="76.5" x14ac:dyDescent="0.2">
      <c r="A92" s="855">
        <v>4.3</v>
      </c>
      <c r="B92" s="856" t="s">
        <v>650</v>
      </c>
      <c r="C92" s="401" t="s">
        <v>56</v>
      </c>
      <c r="D92" s="401" t="str">
        <f>'Décentralisation '!E9</f>
        <v>Préparation de la liste des fonctions des Unités gouvernementales locales (UGL), du modèle structurel de l'organisation des municipalités, de la classification des postes et de la mise en oeuvre d'un programme de formation pour les UGL (IAP A 1.6)</v>
      </c>
      <c r="E92" s="553"/>
      <c r="F92" s="369">
        <f>'Décentralisation '!AL9</f>
        <v>350000</v>
      </c>
      <c r="G92" s="369">
        <f>'Décentralisation '!AM9</f>
        <v>0</v>
      </c>
      <c r="H92" s="369">
        <f>'Décentralisation '!AN9</f>
        <v>300000</v>
      </c>
      <c r="I92" s="369">
        <f>'Décentralisation '!AO9</f>
        <v>50000</v>
      </c>
      <c r="J92" s="369">
        <f>'Décentralisation '!AP9</f>
        <v>0</v>
      </c>
      <c r="K92" s="369">
        <f>'Décentralisation '!AQ9</f>
        <v>0</v>
      </c>
      <c r="L92" s="369">
        <f>'Décentralisation '!AR9</f>
        <v>0</v>
      </c>
    </row>
    <row r="93" spans="1:19" ht="51" x14ac:dyDescent="0.2">
      <c r="A93" s="855"/>
      <c r="B93" s="856"/>
      <c r="C93" s="401" t="s">
        <v>169</v>
      </c>
      <c r="D93" s="401" t="str">
        <f>'Décentralisation '!E10</f>
        <v xml:space="preserve">Conception du modèle du nouveau dispositif des UGL et aide à la mise en place des nouveaux dispositifs (assistance pratique).
</v>
      </c>
      <c r="E93" s="553"/>
      <c r="F93" s="369">
        <f>'Décentralisation '!AL10</f>
        <v>200000</v>
      </c>
      <c r="G93" s="369">
        <f>'Décentralisation '!AM10</f>
        <v>0</v>
      </c>
      <c r="H93" s="369">
        <f>'Décentralisation '!AN10</f>
        <v>0</v>
      </c>
      <c r="I93" s="369">
        <f>'Décentralisation '!AO10</f>
        <v>200000</v>
      </c>
      <c r="J93" s="369">
        <f>'Décentralisation '!AP10</f>
        <v>0</v>
      </c>
      <c r="K93" s="369">
        <f>'Décentralisation '!AQ10</f>
        <v>0</v>
      </c>
      <c r="L93" s="369">
        <f>'Décentralisation '!AR10</f>
        <v>0</v>
      </c>
    </row>
    <row r="94" spans="1:19" ht="38.25" x14ac:dyDescent="0.2">
      <c r="A94" s="855"/>
      <c r="B94" s="856"/>
      <c r="C94" s="401" t="s">
        <v>195</v>
      </c>
      <c r="D94" s="401" t="str">
        <f>'Décentralisation '!E11</f>
        <v>Renforcement des compétences des unités de gestion des ressources humaines des nouvelles municipalités (15 000 euros).</v>
      </c>
      <c r="E94" s="553"/>
      <c r="F94" s="369">
        <f>'Décentralisation '!AL11</f>
        <v>39900</v>
      </c>
      <c r="G94" s="369">
        <f>'Décentralisation '!AM11</f>
        <v>0</v>
      </c>
      <c r="H94" s="369">
        <f>'Décentralisation '!AN11</f>
        <v>0</v>
      </c>
      <c r="I94" s="369">
        <f>'Décentralisation '!AO11</f>
        <v>15000</v>
      </c>
      <c r="J94" s="369">
        <f>'Décentralisation '!AP11</f>
        <v>0</v>
      </c>
      <c r="K94" s="369">
        <f>'Décentralisation '!AQ11</f>
        <v>0</v>
      </c>
      <c r="L94" s="369">
        <f>'Décentralisation '!AR11</f>
        <v>24900</v>
      </c>
    </row>
    <row r="95" spans="1:19" ht="25.5" x14ac:dyDescent="0.2">
      <c r="A95" s="855"/>
      <c r="B95" s="856"/>
      <c r="C95" s="401" t="s">
        <v>196</v>
      </c>
      <c r="D95" s="401" t="str">
        <f>'Décentralisation '!E12</f>
        <v>Standardisation des procédures de gestion des RH dans toutes les UGL (IAP A 1.2)</v>
      </c>
      <c r="E95" s="553"/>
      <c r="F95" s="369">
        <f>'Décentralisation '!AL12</f>
        <v>200000</v>
      </c>
      <c r="G95" s="369">
        <f>'Décentralisation '!AM12</f>
        <v>0</v>
      </c>
      <c r="H95" s="369">
        <f>'Décentralisation '!AN12</f>
        <v>200000</v>
      </c>
      <c r="I95" s="369">
        <f>'Décentralisation '!AO12</f>
        <v>0</v>
      </c>
      <c r="J95" s="369">
        <f>'Décentralisation '!AP12</f>
        <v>0</v>
      </c>
      <c r="K95" s="369">
        <f>'Décentralisation '!AQ12</f>
        <v>0</v>
      </c>
      <c r="L95" s="369">
        <f>'Décentralisation '!AR12</f>
        <v>0</v>
      </c>
    </row>
    <row r="96" spans="1:19" ht="15.75" customHeight="1" x14ac:dyDescent="0.2">
      <c r="A96" s="378"/>
      <c r="B96" s="860" t="s">
        <v>566</v>
      </c>
      <c r="C96" s="861"/>
      <c r="D96" s="862"/>
      <c r="E96" s="558"/>
      <c r="F96" s="379">
        <f t="shared" ref="F96:L96" si="6">SUM(F86:F95)</f>
        <v>3186525</v>
      </c>
      <c r="G96" s="379">
        <f t="shared" si="6"/>
        <v>70000</v>
      </c>
      <c r="H96" s="379">
        <f t="shared" si="6"/>
        <v>1000000</v>
      </c>
      <c r="I96" s="379">
        <f t="shared" si="6"/>
        <v>315000</v>
      </c>
      <c r="J96" s="379">
        <f t="shared" si="6"/>
        <v>0</v>
      </c>
      <c r="K96" s="379">
        <f t="shared" si="6"/>
        <v>0</v>
      </c>
      <c r="L96" s="379">
        <f t="shared" si="6"/>
        <v>1801525</v>
      </c>
      <c r="M96" s="482">
        <f>'Fonction publique et GRH'!AL15+'Décentralisation '!AL13</f>
        <v>3186525</v>
      </c>
      <c r="N96" s="482">
        <f>'Fonction publique et GRH'!AM15+'Décentralisation '!AM13</f>
        <v>70000</v>
      </c>
      <c r="O96" s="482">
        <f>'Fonction publique et GRH'!AN15+'Décentralisation '!AN13</f>
        <v>1000000</v>
      </c>
      <c r="P96" s="482">
        <f>'Fonction publique et GRH'!AO15+'Décentralisation '!AO13</f>
        <v>315000</v>
      </c>
      <c r="Q96" s="482">
        <f>'Fonction publique et GRH'!AP15+'Décentralisation '!AP13</f>
        <v>0</v>
      </c>
      <c r="R96" s="482">
        <f>'Fonction publique et GRH'!AQ15+'Décentralisation '!AQ13</f>
        <v>0</v>
      </c>
      <c r="S96" s="482">
        <f>'Fonction publique et GRH'!AR15+'Décentralisation '!AR13</f>
        <v>1801525</v>
      </c>
    </row>
    <row r="97" spans="1:19" ht="30" customHeight="1" x14ac:dyDescent="0.2">
      <c r="A97" s="375">
        <v>5</v>
      </c>
      <c r="B97" s="849" t="s">
        <v>503</v>
      </c>
      <c r="C97" s="850"/>
      <c r="D97" s="850"/>
      <c r="E97" s="850"/>
      <c r="F97" s="850"/>
      <c r="G97" s="850"/>
      <c r="H97" s="850"/>
      <c r="I97" s="850"/>
      <c r="J97" s="850"/>
      <c r="K97" s="850"/>
      <c r="L97" s="851"/>
      <c r="M97" s="481">
        <f>F96-M96</f>
        <v>0</v>
      </c>
      <c r="N97" s="481">
        <f t="shared" ref="N97:S97" si="7">G96-N96</f>
        <v>0</v>
      </c>
      <c r="O97" s="481">
        <f t="shared" si="7"/>
        <v>0</v>
      </c>
      <c r="P97" s="481">
        <f t="shared" si="7"/>
        <v>0</v>
      </c>
      <c r="Q97" s="481">
        <f t="shared" si="7"/>
        <v>0</v>
      </c>
      <c r="R97" s="481">
        <f t="shared" si="7"/>
        <v>0</v>
      </c>
      <c r="S97" s="481">
        <f t="shared" si="7"/>
        <v>0</v>
      </c>
    </row>
    <row r="98" spans="1:19" ht="21.75" customHeight="1" x14ac:dyDescent="0.2">
      <c r="A98" s="910">
        <v>5.0999999999999996</v>
      </c>
      <c r="B98" s="856" t="s">
        <v>574</v>
      </c>
      <c r="C98" s="401" t="s">
        <v>59</v>
      </c>
      <c r="D98" s="401" t="str">
        <f>Innovation!E10</f>
        <v xml:space="preserve">Stratégie de prestation des services publics </v>
      </c>
      <c r="E98" s="553"/>
      <c r="F98" s="369">
        <f>Innovation!AM10</f>
        <v>286960</v>
      </c>
      <c r="G98" s="369">
        <f>Innovation!AN10</f>
        <v>0</v>
      </c>
      <c r="H98" s="369">
        <f>Innovation!AO10</f>
        <v>0</v>
      </c>
      <c r="I98" s="369">
        <f>Innovation!AP10</f>
        <v>0</v>
      </c>
      <c r="J98" s="369">
        <f>Innovation!AQ10</f>
        <v>0</v>
      </c>
      <c r="K98" s="369">
        <f>Innovation!AR10</f>
        <v>286960</v>
      </c>
      <c r="L98" s="369">
        <f>Innovation!AS10</f>
        <v>0</v>
      </c>
    </row>
    <row r="99" spans="1:19" ht="35.1" customHeight="1" x14ac:dyDescent="0.2">
      <c r="A99" s="910"/>
      <c r="B99" s="856"/>
      <c r="C99" s="401" t="s">
        <v>176</v>
      </c>
      <c r="D99" s="401" t="str">
        <f>Innovation!E11</f>
        <v xml:space="preserve">Mise en place de l'ADISA (Agence pour la prestation de services intégrés) et ouverture de 4 centres pilotes  </v>
      </c>
      <c r="E99" s="553"/>
      <c r="F99" s="369">
        <f>Innovation!AM11</f>
        <v>3153610</v>
      </c>
      <c r="G99" s="369">
        <f>Innovation!AN11</f>
        <v>2038770</v>
      </c>
      <c r="H99" s="369">
        <f>Innovation!AO11</f>
        <v>0</v>
      </c>
      <c r="I99" s="369">
        <f>Innovation!AP11</f>
        <v>0</v>
      </c>
      <c r="J99" s="369">
        <f>Innovation!AQ11</f>
        <v>485722</v>
      </c>
      <c r="K99" s="369">
        <f>Innovation!AR11</f>
        <v>629118</v>
      </c>
      <c r="L99" s="369">
        <f>Innovation!AS11</f>
        <v>0</v>
      </c>
    </row>
    <row r="100" spans="1:19" ht="25.5" x14ac:dyDescent="0.2">
      <c r="A100" s="910"/>
      <c r="B100" s="856"/>
      <c r="C100" s="401" t="s">
        <v>177</v>
      </c>
      <c r="D100" s="401" t="str">
        <f>Innovation!E12</f>
        <v xml:space="preserve">Création des infrastructures physiques des guichets uniques et de leur fonctionnement </v>
      </c>
      <c r="E100" s="553"/>
      <c r="F100" s="369">
        <f>Innovation!AM12</f>
        <v>22364600</v>
      </c>
      <c r="G100" s="369">
        <f>Innovation!AN12</f>
        <v>7364600</v>
      </c>
      <c r="H100" s="369">
        <f>Innovation!AO12</f>
        <v>0</v>
      </c>
      <c r="I100" s="369">
        <f>Innovation!AP12</f>
        <v>0</v>
      </c>
      <c r="J100" s="369">
        <f>Innovation!AQ12</f>
        <v>15000000</v>
      </c>
      <c r="K100" s="369">
        <f>Innovation!AR12</f>
        <v>0</v>
      </c>
      <c r="L100" s="369">
        <f>Innovation!AS12</f>
        <v>0</v>
      </c>
    </row>
    <row r="101" spans="1:19" ht="54" customHeight="1" x14ac:dyDescent="0.2">
      <c r="A101" s="406">
        <v>5.2</v>
      </c>
      <c r="B101" s="553" t="str">
        <f>Innovation!C13</f>
        <v>Adaptation au modèle du guichet unique de la configuration des institutions qui fournissent des services publics :</v>
      </c>
      <c r="C101" s="553" t="s">
        <v>59</v>
      </c>
      <c r="D101" s="553" t="str">
        <f>Innovation!E13</f>
        <v>Changement des structures administratives sur la base de l'Étude pour la réorganisation des institutions publiques</v>
      </c>
      <c r="E101" s="815" t="s">
        <v>694</v>
      </c>
      <c r="F101" s="369"/>
      <c r="G101" s="369"/>
      <c r="H101" s="369"/>
      <c r="I101" s="369"/>
      <c r="J101" s="369"/>
      <c r="K101" s="369"/>
      <c r="L101" s="369"/>
    </row>
    <row r="102" spans="1:19" ht="44.1" customHeight="1" x14ac:dyDescent="0.2">
      <c r="A102" s="406">
        <v>5.3</v>
      </c>
      <c r="B102" s="401" t="s">
        <v>706</v>
      </c>
      <c r="C102" s="401" t="s">
        <v>211</v>
      </c>
      <c r="D102" s="401" t="str">
        <f>'Décentralisation '!C15</f>
        <v xml:space="preserve">Mise en place de guichets uniques pour les services administratifs au niveau local. </v>
      </c>
      <c r="E102" s="553"/>
      <c r="F102" s="369">
        <f>'Décentralisation '!AL15</f>
        <v>7338000</v>
      </c>
      <c r="G102" s="369">
        <f>'Décentralisation '!AM15</f>
        <v>4300000</v>
      </c>
      <c r="H102" s="369">
        <f>'Décentralisation '!AN15</f>
        <v>0</v>
      </c>
      <c r="I102" s="369">
        <f>'Décentralisation '!AO15</f>
        <v>0</v>
      </c>
      <c r="J102" s="369">
        <f>'Décentralisation '!AP15</f>
        <v>0</v>
      </c>
      <c r="K102" s="369">
        <f>'Décentralisation '!AQ15</f>
        <v>0</v>
      </c>
      <c r="L102" s="369">
        <f>'Décentralisation '!AR15</f>
        <v>3038000</v>
      </c>
    </row>
    <row r="103" spans="1:19" ht="15.75" customHeight="1" x14ac:dyDescent="0.2">
      <c r="A103" s="378"/>
      <c r="B103" s="860" t="s">
        <v>567</v>
      </c>
      <c r="C103" s="861"/>
      <c r="D103" s="862"/>
      <c r="E103" s="558"/>
      <c r="F103" s="379">
        <f t="shared" ref="F103:L103" si="8">SUM(F98:F102)</f>
        <v>33143170</v>
      </c>
      <c r="G103" s="379">
        <f t="shared" si="8"/>
        <v>13703370</v>
      </c>
      <c r="H103" s="379">
        <f t="shared" si="8"/>
        <v>0</v>
      </c>
      <c r="I103" s="379">
        <f t="shared" si="8"/>
        <v>0</v>
      </c>
      <c r="J103" s="379">
        <f t="shared" si="8"/>
        <v>15485722</v>
      </c>
      <c r="K103" s="379">
        <f t="shared" si="8"/>
        <v>916078</v>
      </c>
      <c r="L103" s="379">
        <f t="shared" si="8"/>
        <v>3038000</v>
      </c>
      <c r="M103" s="482">
        <f>Innovation!AM14+'Décentralisation '!AL15</f>
        <v>33143170</v>
      </c>
      <c r="N103" s="482">
        <f>Innovation!AN14+'Décentralisation '!AM15</f>
        <v>13703370</v>
      </c>
      <c r="O103" s="482">
        <f>Innovation!AO14+'Décentralisation '!AN15</f>
        <v>0</v>
      </c>
      <c r="P103" s="482">
        <f>Innovation!AP14+'Décentralisation '!AO15</f>
        <v>0</v>
      </c>
      <c r="Q103" s="482">
        <f>Innovation!AQ14+'Décentralisation '!AP15</f>
        <v>15485722</v>
      </c>
      <c r="R103" s="482">
        <f>Innovation!AR14+'Décentralisation '!AQ15</f>
        <v>916078</v>
      </c>
      <c r="S103" s="482">
        <f>Innovation!AS14+'Décentralisation '!AR15</f>
        <v>3038000</v>
      </c>
    </row>
    <row r="104" spans="1:19" ht="33.75" customHeight="1" x14ac:dyDescent="0.2">
      <c r="A104" s="383">
        <v>6</v>
      </c>
      <c r="B104" s="849" t="s">
        <v>575</v>
      </c>
      <c r="C104" s="850"/>
      <c r="D104" s="850"/>
      <c r="E104" s="850"/>
      <c r="F104" s="850"/>
      <c r="G104" s="850"/>
      <c r="H104" s="850"/>
      <c r="I104" s="850"/>
      <c r="J104" s="850"/>
      <c r="K104" s="850"/>
      <c r="L104" s="851"/>
      <c r="M104" s="481">
        <f>F103-M103</f>
        <v>0</v>
      </c>
      <c r="N104" s="481">
        <f t="shared" ref="N104:S104" si="9">G103-N103</f>
        <v>0</v>
      </c>
      <c r="O104" s="481">
        <f t="shared" si="9"/>
        <v>0</v>
      </c>
      <c r="P104" s="481">
        <f t="shared" si="9"/>
        <v>0</v>
      </c>
      <c r="Q104" s="481">
        <f t="shared" si="9"/>
        <v>0</v>
      </c>
      <c r="R104" s="481">
        <f t="shared" si="9"/>
        <v>0</v>
      </c>
      <c r="S104" s="481">
        <f t="shared" si="9"/>
        <v>0</v>
      </c>
    </row>
    <row r="105" spans="1:19" ht="38.25" x14ac:dyDescent="0.2">
      <c r="A105" s="381"/>
      <c r="B105" s="400"/>
      <c r="C105" s="401" t="s">
        <v>191</v>
      </c>
      <c r="D105" s="401" t="str">
        <f>'Fonction publique et GRH'!E17</f>
        <v xml:space="preserve">L'évaluation du respect de la nouvelle Loi sur la fonction publique concernant les structures actuelles de gestion et de contrôle.  </v>
      </c>
      <c r="E105" s="553"/>
      <c r="F105" s="369">
        <f>'Fonction publique et GRH'!AL17</f>
        <v>50000</v>
      </c>
      <c r="G105" s="369">
        <f>'Fonction publique et GRH'!AM17</f>
        <v>50000</v>
      </c>
      <c r="H105" s="369">
        <f>'Fonction publique et GRH'!AN17</f>
        <v>0</v>
      </c>
      <c r="I105" s="369">
        <f>'Fonction publique et GRH'!AO17</f>
        <v>0</v>
      </c>
      <c r="J105" s="369">
        <f>'Fonction publique et GRH'!AP17</f>
        <v>0</v>
      </c>
      <c r="K105" s="369">
        <f>'Fonction publique et GRH'!AQ17</f>
        <v>0</v>
      </c>
      <c r="L105" s="369">
        <f>'Fonction publique et GRH'!AR17</f>
        <v>0</v>
      </c>
    </row>
    <row r="106" spans="1:19" ht="33" customHeight="1" x14ac:dyDescent="0.2">
      <c r="A106" s="874">
        <v>6.2</v>
      </c>
      <c r="B106" s="874" t="s">
        <v>703</v>
      </c>
      <c r="C106" s="401" t="s">
        <v>170</v>
      </c>
      <c r="D106" s="401" t="str">
        <f>'Fonction publique et GRH'!E18</f>
        <v>Étude de la capacité des structures menée par le DAP</v>
      </c>
      <c r="E106" s="553"/>
      <c r="F106" s="369">
        <f>'Fonction publique et GRH'!AL18</f>
        <v>60000</v>
      </c>
      <c r="G106" s="369">
        <f>'Fonction publique et GRH'!AM18</f>
        <v>60000</v>
      </c>
      <c r="H106" s="369">
        <f>'Fonction publique et GRH'!AN18</f>
        <v>0</v>
      </c>
      <c r="I106" s="369">
        <f>'Fonction publique et GRH'!AO18</f>
        <v>0</v>
      </c>
      <c r="J106" s="369">
        <f>'Fonction publique et GRH'!AP18</f>
        <v>0</v>
      </c>
      <c r="K106" s="369">
        <f>'Fonction publique et GRH'!AQ18</f>
        <v>0</v>
      </c>
      <c r="L106" s="369">
        <f>'Fonction publique et GRH'!AR18</f>
        <v>0</v>
      </c>
    </row>
    <row r="107" spans="1:19" ht="39" customHeight="1" x14ac:dyDescent="0.2">
      <c r="A107" s="873"/>
      <c r="B107" s="873"/>
      <c r="C107" s="401" t="s">
        <v>171</v>
      </c>
      <c r="D107" s="401" t="str">
        <f>'Fonction publique et GRH'!E19</f>
        <v>La méthodologie de la planification à long terme des ressources humaines.</v>
      </c>
      <c r="E107" s="553"/>
      <c r="F107" s="369">
        <f>'Fonction publique et GRH'!AL19</f>
        <v>19900</v>
      </c>
      <c r="G107" s="369">
        <f>'Fonction publique et GRH'!AM19</f>
        <v>0</v>
      </c>
      <c r="H107" s="369">
        <f>'Fonction publique et GRH'!AN19</f>
        <v>0</v>
      </c>
      <c r="I107" s="369">
        <f>'Fonction publique et GRH'!AO19</f>
        <v>0</v>
      </c>
      <c r="J107" s="369">
        <f>'Fonction publique et GRH'!AP19</f>
        <v>0</v>
      </c>
      <c r="K107" s="369">
        <f>'Fonction publique et GRH'!AQ19</f>
        <v>0</v>
      </c>
      <c r="L107" s="369">
        <f>'Fonction publique et GRH'!AR19</f>
        <v>19900</v>
      </c>
    </row>
    <row r="108" spans="1:19" ht="53.45" customHeight="1" x14ac:dyDescent="0.2">
      <c r="A108" s="879"/>
      <c r="B108" s="879"/>
      <c r="C108" s="401" t="s">
        <v>190</v>
      </c>
      <c r="D108" s="401" t="str">
        <f>'Fonction publique et GRH'!E20</f>
        <v>Programme de formation spécifique pour la planification à long terme des ressources humaines.</v>
      </c>
      <c r="E108" s="773" t="s">
        <v>629</v>
      </c>
      <c r="F108" s="369">
        <f>'Fonction publique et GRH'!AL20</f>
        <v>0</v>
      </c>
      <c r="G108" s="369">
        <f>'Fonction publique et GRH'!AM20</f>
        <v>0</v>
      </c>
      <c r="H108" s="369">
        <f>'Fonction publique et GRH'!AN20</f>
        <v>0</v>
      </c>
      <c r="I108" s="369">
        <f>'Fonction publique et GRH'!AO20</f>
        <v>0</v>
      </c>
      <c r="J108" s="369">
        <f>'Fonction publique et GRH'!AP20</f>
        <v>0</v>
      </c>
      <c r="K108" s="369">
        <f>'Fonction publique et GRH'!AQ20</f>
        <v>0</v>
      </c>
      <c r="L108" s="369">
        <f>'Fonction publique et GRH'!AR20</f>
        <v>0</v>
      </c>
    </row>
    <row r="109" spans="1:19" ht="61.35" customHeight="1" x14ac:dyDescent="0.2">
      <c r="A109" s="371">
        <v>6.3</v>
      </c>
      <c r="B109" s="773" t="s">
        <v>702</v>
      </c>
      <c r="C109" s="401" t="s">
        <v>174</v>
      </c>
      <c r="D109" s="401" t="str">
        <f>'Fonction publique et GRH'!E21</f>
        <v>Formations fournies par les programmes de l'EAAP.</v>
      </c>
      <c r="E109" s="773" t="s">
        <v>630</v>
      </c>
      <c r="F109" s="369">
        <f>'Fonction publique et GRH'!AL21</f>
        <v>0</v>
      </c>
      <c r="G109" s="369">
        <f>'Fonction publique et GRH'!AM21</f>
        <v>0</v>
      </c>
      <c r="H109" s="369">
        <f>'Fonction publique et GRH'!AN21</f>
        <v>0</v>
      </c>
      <c r="I109" s="369">
        <f>'Fonction publique et GRH'!AO21</f>
        <v>0</v>
      </c>
      <c r="J109" s="369">
        <f>'Fonction publique et GRH'!AP21</f>
        <v>0</v>
      </c>
      <c r="K109" s="369">
        <f>'Fonction publique et GRH'!AQ21</f>
        <v>0</v>
      </c>
      <c r="L109" s="369">
        <f>'Fonction publique et GRH'!AR21</f>
        <v>0</v>
      </c>
    </row>
    <row r="110" spans="1:19" ht="43.5" customHeight="1" x14ac:dyDescent="0.2">
      <c r="A110" s="855">
        <v>6.4</v>
      </c>
      <c r="B110" s="856" t="s">
        <v>701</v>
      </c>
      <c r="C110" s="401" t="s">
        <v>173</v>
      </c>
      <c r="D110" s="401" t="str">
        <f>'Fonction publique et GRH'!E22</f>
        <v>La création de mécanismes de renforcement de la coopération entre le CFP et les institutions de l'administraiton publique (IAP A.2.3).</v>
      </c>
      <c r="E110" s="553"/>
      <c r="F110" s="369">
        <f>'Fonction publique et GRH'!AL22</f>
        <v>300000</v>
      </c>
      <c r="G110" s="369">
        <f>'Fonction publique et GRH'!AM22</f>
        <v>0</v>
      </c>
      <c r="H110" s="369">
        <f>'Fonction publique et GRH'!AN22</f>
        <v>300000</v>
      </c>
      <c r="I110" s="369">
        <f>'Fonction publique et GRH'!AO22</f>
        <v>0</v>
      </c>
      <c r="J110" s="369">
        <f>'Fonction publique et GRH'!AP22</f>
        <v>0</v>
      </c>
      <c r="K110" s="369">
        <f>'Fonction publique et GRH'!AQ22</f>
        <v>0</v>
      </c>
      <c r="L110" s="369">
        <f>'Fonction publique et GRH'!AR22</f>
        <v>0</v>
      </c>
    </row>
    <row r="111" spans="1:19" ht="36.75" customHeight="1" x14ac:dyDescent="0.2">
      <c r="A111" s="855"/>
      <c r="B111" s="856"/>
      <c r="C111" s="401" t="s">
        <v>172</v>
      </c>
      <c r="D111" s="401" t="str">
        <f>'Fonction publique et GRH'!E23</f>
        <v>Renforcement des capacités du CFP (partiellement IAP A.2.4).</v>
      </c>
      <c r="E111" s="553"/>
      <c r="F111" s="369">
        <f>'Fonction publique et GRH'!AL23</f>
        <v>50000</v>
      </c>
      <c r="G111" s="369">
        <f>'Fonction publique et GRH'!AM23</f>
        <v>0</v>
      </c>
      <c r="H111" s="369">
        <f>'Fonction publique et GRH'!AN23</f>
        <v>50000</v>
      </c>
      <c r="I111" s="369">
        <f>'Fonction publique et GRH'!AO23</f>
        <v>0</v>
      </c>
      <c r="J111" s="369">
        <f>'Fonction publique et GRH'!AP23</f>
        <v>0</v>
      </c>
      <c r="K111" s="369">
        <f>'Fonction publique et GRH'!AQ23</f>
        <v>0</v>
      </c>
      <c r="L111" s="369">
        <f>'Fonction publique et GRH'!AR23</f>
        <v>0</v>
      </c>
    </row>
    <row r="112" spans="1:19" ht="26.25" customHeight="1" x14ac:dyDescent="0.2">
      <c r="A112" s="855">
        <v>6.5</v>
      </c>
      <c r="B112" s="856" t="s">
        <v>577</v>
      </c>
      <c r="C112" s="401" t="s">
        <v>139</v>
      </c>
      <c r="D112" s="401" t="str">
        <f>'Fonction publique et GRH'!E24</f>
        <v xml:space="preserve">Mise en place de la plateforme du système. </v>
      </c>
      <c r="E112" s="553"/>
      <c r="F112" s="369">
        <f>'Fonction publique et GRH'!AL24</f>
        <v>65000</v>
      </c>
      <c r="G112" s="369">
        <f>'Fonction publique et GRH'!AM24</f>
        <v>5000</v>
      </c>
      <c r="H112" s="369">
        <f>'Fonction publique et GRH'!AN24</f>
        <v>0</v>
      </c>
      <c r="I112" s="369">
        <f>'Fonction publique et GRH'!AO24</f>
        <v>0</v>
      </c>
      <c r="J112" s="369">
        <f>'Fonction publique et GRH'!AP24</f>
        <v>60000</v>
      </c>
      <c r="K112" s="369">
        <f>'Fonction publique et GRH'!AQ24</f>
        <v>0</v>
      </c>
      <c r="L112" s="369">
        <f>'Fonction publique et GRH'!AR24</f>
        <v>0</v>
      </c>
    </row>
    <row r="113" spans="1:12" ht="31.5" customHeight="1" x14ac:dyDescent="0.2">
      <c r="A113" s="855"/>
      <c r="B113" s="856"/>
      <c r="C113" s="401" t="s">
        <v>140</v>
      </c>
      <c r="D113" s="401" t="str">
        <f>'Fonction publique et GRH'!E25</f>
        <v>Banque de questions pour l'examen dirigé (pour 10 disciplines).</v>
      </c>
      <c r="E113" s="553"/>
      <c r="F113" s="369">
        <f>'Fonction publique et GRH'!AL25</f>
        <v>445000</v>
      </c>
      <c r="G113" s="369">
        <f>'Fonction publique et GRH'!AM25</f>
        <v>50000</v>
      </c>
      <c r="H113" s="369">
        <f>'Fonction publique et GRH'!AN25</f>
        <v>0</v>
      </c>
      <c r="I113" s="369">
        <f>'Fonction publique et GRH'!AO25</f>
        <v>0</v>
      </c>
      <c r="J113" s="369">
        <f>'Fonction publique et GRH'!AP25</f>
        <v>0</v>
      </c>
      <c r="K113" s="369">
        <f>'Fonction publique et GRH'!AQ25</f>
        <v>0</v>
      </c>
      <c r="L113" s="369">
        <f>'Fonction publique et GRH'!AR25</f>
        <v>395000</v>
      </c>
    </row>
    <row r="114" spans="1:12" ht="28.5" customHeight="1" x14ac:dyDescent="0.2">
      <c r="A114" s="855"/>
      <c r="B114" s="856"/>
      <c r="C114" s="401" t="s">
        <v>141</v>
      </c>
      <c r="D114" s="401" t="s">
        <v>700</v>
      </c>
      <c r="E114" s="553"/>
      <c r="F114" s="369">
        <f>'Fonction publique et GRH'!AL26</f>
        <v>30000</v>
      </c>
      <c r="G114" s="369">
        <f>'Fonction publique et GRH'!AM26</f>
        <v>30000</v>
      </c>
      <c r="H114" s="369">
        <f>'Fonction publique et GRH'!AN26</f>
        <v>0</v>
      </c>
      <c r="I114" s="369">
        <f>'Fonction publique et GRH'!AO26</f>
        <v>0</v>
      </c>
      <c r="J114" s="369">
        <f>'Fonction publique et GRH'!AP26</f>
        <v>0</v>
      </c>
      <c r="K114" s="369">
        <f>'Fonction publique et GRH'!AQ26</f>
        <v>0</v>
      </c>
      <c r="L114" s="369">
        <f>'Fonction publique et GRH'!AR26</f>
        <v>0</v>
      </c>
    </row>
    <row r="115" spans="1:12" ht="33.75" customHeight="1" x14ac:dyDescent="0.2">
      <c r="A115" s="855"/>
      <c r="B115" s="856"/>
      <c r="C115" s="401" t="s">
        <v>142</v>
      </c>
      <c r="D115" s="401" t="str">
        <f>'Fonction publique et GRH'!E27</f>
        <v>Système d'examen automatique élaboré (pour 15 disciplines).</v>
      </c>
      <c r="E115" s="553"/>
      <c r="F115" s="369">
        <f>'Fonction publique et GRH'!AL27</f>
        <v>213000</v>
      </c>
      <c r="G115" s="369">
        <f>'Fonction publique et GRH'!AM27</f>
        <v>5000</v>
      </c>
      <c r="H115" s="369">
        <f>'Fonction publique et GRH'!AN27</f>
        <v>0</v>
      </c>
      <c r="I115" s="369">
        <f>'Fonction publique et GRH'!AO27</f>
        <v>0</v>
      </c>
      <c r="J115" s="369">
        <f>'Fonction publique et GRH'!AP27</f>
        <v>0</v>
      </c>
      <c r="K115" s="369">
        <f>'Fonction publique et GRH'!AQ27</f>
        <v>0</v>
      </c>
      <c r="L115" s="369">
        <f>'Fonction publique et GRH'!AR27</f>
        <v>208000</v>
      </c>
    </row>
    <row r="116" spans="1:12" ht="50.45" customHeight="1" x14ac:dyDescent="0.2">
      <c r="A116" s="855" t="s">
        <v>139</v>
      </c>
      <c r="B116" s="874" t="s">
        <v>708</v>
      </c>
      <c r="C116" s="553" t="s">
        <v>212</v>
      </c>
      <c r="D116" s="553" t="str">
        <f>'Transparence &amp; Anti-corruption '!E13</f>
        <v>Révision de l'examen d'admission pendant le recrutement pour y inclure des questions spécifiques concernant l'évaluation de la probité.</v>
      </c>
      <c r="E116" s="815" t="s">
        <v>694</v>
      </c>
      <c r="F116" s="369">
        <f>'Transparence &amp; Anti-corruption '!AL13</f>
        <v>0</v>
      </c>
      <c r="G116" s="369">
        <f>'Transparence &amp; Anti-corruption '!AM13</f>
        <v>0</v>
      </c>
      <c r="H116" s="369">
        <f>'Transparence &amp; Anti-corruption '!AN13</f>
        <v>0</v>
      </c>
      <c r="I116" s="369">
        <f>'Transparence &amp; Anti-corruption '!AO13</f>
        <v>0</v>
      </c>
      <c r="J116" s="369">
        <f>'Transparence &amp; Anti-corruption '!AP13</f>
        <v>0</v>
      </c>
      <c r="K116" s="369">
        <f>'Transparence &amp; Anti-corruption '!AQ13</f>
        <v>0</v>
      </c>
      <c r="L116" s="369">
        <f>'Transparence &amp; Anti-corruption '!AR13</f>
        <v>0</v>
      </c>
    </row>
    <row r="117" spans="1:12" ht="30.75" customHeight="1" x14ac:dyDescent="0.2">
      <c r="A117" s="855"/>
      <c r="B117" s="873"/>
      <c r="C117" s="553" t="s">
        <v>213</v>
      </c>
      <c r="D117" s="553" t="str">
        <f>'Transparence &amp; Anti-corruption '!E14</f>
        <v>Évaluation de la probité lors de l'évaluation annuelle de performance.</v>
      </c>
      <c r="E117" s="815" t="s">
        <v>694</v>
      </c>
      <c r="F117" s="369">
        <f>'Transparence &amp; Anti-corruption '!AL14</f>
        <v>0</v>
      </c>
      <c r="G117" s="369">
        <f>'Transparence &amp; Anti-corruption '!AM14</f>
        <v>0</v>
      </c>
      <c r="H117" s="369">
        <f>'Transparence &amp; Anti-corruption '!AN14</f>
        <v>0</v>
      </c>
      <c r="I117" s="369">
        <f>'Transparence &amp; Anti-corruption '!AO14</f>
        <v>0</v>
      </c>
      <c r="J117" s="369">
        <f>'Transparence &amp; Anti-corruption '!AP14</f>
        <v>0</v>
      </c>
      <c r="K117" s="369">
        <f>'Transparence &amp; Anti-corruption '!AQ14</f>
        <v>0</v>
      </c>
      <c r="L117" s="369">
        <f>'Transparence &amp; Anti-corruption '!AR14</f>
        <v>0</v>
      </c>
    </row>
    <row r="118" spans="1:12" ht="42.75" customHeight="1" x14ac:dyDescent="0.2">
      <c r="A118" s="855">
        <v>6.6</v>
      </c>
      <c r="B118" s="856" t="s">
        <v>709</v>
      </c>
      <c r="C118" s="401" t="str">
        <f>'Fonction publique et GRH'!D28</f>
        <v>6.6.1</v>
      </c>
      <c r="D118" s="401" t="str">
        <f>'Fonction publique et GRH'!E28</f>
        <v>Étude d'évaluation pour 17 systèmes (2 experts locaux et 5 experts étrangers).</v>
      </c>
      <c r="E118" s="553"/>
      <c r="F118" s="369">
        <f>'Fonction publique et GRH'!AL28</f>
        <v>348000</v>
      </c>
      <c r="G118" s="369">
        <f>'Fonction publique et GRH'!AM28</f>
        <v>0</v>
      </c>
      <c r="H118" s="369">
        <f>'Fonction publique et GRH'!AN28</f>
        <v>0</v>
      </c>
      <c r="I118" s="369">
        <f>'Fonction publique et GRH'!AO28</f>
        <v>0</v>
      </c>
      <c r="J118" s="369">
        <f>'Fonction publique et GRH'!AP28</f>
        <v>0</v>
      </c>
      <c r="K118" s="369">
        <f>'Fonction publique et GRH'!AQ28</f>
        <v>0</v>
      </c>
      <c r="L118" s="369">
        <f>'Fonction publique et GRH'!AR28</f>
        <v>348000</v>
      </c>
    </row>
    <row r="119" spans="1:12" ht="47.25" customHeight="1" x14ac:dyDescent="0.2">
      <c r="A119" s="855"/>
      <c r="B119" s="856"/>
      <c r="C119" s="401" t="str">
        <f>'Fonction publique et GRH'!D29</f>
        <v>6.6.2</v>
      </c>
      <c r="D119" s="401" t="str">
        <f>'Fonction publique et GRH'!E29</f>
        <v>Formation du personnel des ministères pour utiliser les formulaires standard (4 formations X 20 personnes/formation X 3 jours de formation).</v>
      </c>
      <c r="E119" s="553"/>
      <c r="F119" s="369">
        <f>'Fonction publique et GRH'!AL29</f>
        <v>11200</v>
      </c>
      <c r="G119" s="369">
        <f>'Fonction publique et GRH'!AM29</f>
        <v>0</v>
      </c>
      <c r="H119" s="369">
        <f>'Fonction publique et GRH'!AN29</f>
        <v>0</v>
      </c>
      <c r="I119" s="369">
        <f>'Fonction publique et GRH'!AO29</f>
        <v>0</v>
      </c>
      <c r="J119" s="369">
        <f>'Fonction publique et GRH'!AP29</f>
        <v>0</v>
      </c>
      <c r="K119" s="369">
        <f>'Fonction publique et GRH'!AQ29</f>
        <v>0</v>
      </c>
      <c r="L119" s="369">
        <f>'Fonction publique et GRH'!AR29</f>
        <v>11200</v>
      </c>
    </row>
    <row r="120" spans="1:12" ht="39.75" customHeight="1" x14ac:dyDescent="0.2">
      <c r="A120" s="855">
        <v>6.7</v>
      </c>
      <c r="B120" s="856" t="s">
        <v>707</v>
      </c>
      <c r="C120" s="401" t="s">
        <v>145</v>
      </c>
      <c r="D120" s="401" t="str">
        <f>'Fonction publique et GRH'!E30</f>
        <v xml:space="preserve">Système de suivi élaboré </v>
      </c>
      <c r="E120" s="553"/>
      <c r="F120" s="369">
        <f>'Fonction publique et GRH'!AL30</f>
        <v>130000</v>
      </c>
      <c r="G120" s="369">
        <f>'Fonction publique et GRH'!AM30</f>
        <v>0</v>
      </c>
      <c r="H120" s="369">
        <f>'Fonction publique et GRH'!AN30</f>
        <v>0</v>
      </c>
      <c r="I120" s="369">
        <f>'Fonction publique et GRH'!AO30</f>
        <v>0</v>
      </c>
      <c r="J120" s="369">
        <f>'Fonction publique et GRH'!AP30</f>
        <v>0</v>
      </c>
      <c r="K120" s="369">
        <f>'Fonction publique et GRH'!AQ30</f>
        <v>0</v>
      </c>
      <c r="L120" s="369">
        <f>'Fonction publique et GRH'!AR30</f>
        <v>130000</v>
      </c>
    </row>
    <row r="121" spans="1:12" ht="52.5" customHeight="1" x14ac:dyDescent="0.2">
      <c r="A121" s="855"/>
      <c r="B121" s="856"/>
      <c r="C121" s="401" t="s">
        <v>146</v>
      </c>
      <c r="D121" s="401" t="str">
        <f>'Fonction publique et GRH'!E31</f>
        <v>Rapports de suivi publiés</v>
      </c>
      <c r="E121" s="553"/>
      <c r="F121" s="369">
        <f>'Fonction publique et GRH'!AL31</f>
        <v>8000</v>
      </c>
      <c r="G121" s="369">
        <f>'Fonction publique et GRH'!AM31</f>
        <v>0</v>
      </c>
      <c r="H121" s="369">
        <f>'Fonction publique et GRH'!AN31</f>
        <v>0</v>
      </c>
      <c r="I121" s="369">
        <f>'Fonction publique et GRH'!AO31</f>
        <v>0</v>
      </c>
      <c r="J121" s="369">
        <f>'Fonction publique et GRH'!AP31</f>
        <v>0</v>
      </c>
      <c r="K121" s="369">
        <f>'Fonction publique et GRH'!AQ31</f>
        <v>0</v>
      </c>
      <c r="L121" s="369">
        <f>'Fonction publique et GRH'!AR31</f>
        <v>8000</v>
      </c>
    </row>
    <row r="122" spans="1:12" ht="47.25" customHeight="1" x14ac:dyDescent="0.2">
      <c r="A122" s="855">
        <v>6.8</v>
      </c>
      <c r="B122" s="874" t="s">
        <v>710</v>
      </c>
      <c r="C122" s="401" t="s">
        <v>101</v>
      </c>
      <c r="D122" s="401" t="str">
        <f>'Fonction publique et GRH'!E32</f>
        <v>Adaptation et activation des modules et interopérabilité et implémentation du SIGRH.</v>
      </c>
      <c r="E122" s="553"/>
      <c r="F122" s="369">
        <f>'Fonction publique et GRH'!AL32</f>
        <v>308000</v>
      </c>
      <c r="G122" s="369">
        <f>'Fonction publique et GRH'!AM32</f>
        <v>20000</v>
      </c>
      <c r="H122" s="369">
        <f>'Fonction publique et GRH'!AN32</f>
        <v>0</v>
      </c>
      <c r="I122" s="369">
        <f>'Fonction publique et GRH'!AO32</f>
        <v>0</v>
      </c>
      <c r="J122" s="369">
        <f>'Fonction publique et GRH'!AP32</f>
        <v>288000</v>
      </c>
      <c r="K122" s="369">
        <f>'Fonction publique et GRH'!AQ32</f>
        <v>0</v>
      </c>
      <c r="L122" s="369">
        <f>'Fonction publique et GRH'!AR32</f>
        <v>0</v>
      </c>
    </row>
    <row r="123" spans="1:12" ht="47.25" customHeight="1" x14ac:dyDescent="0.2">
      <c r="A123" s="855"/>
      <c r="B123" s="873"/>
      <c r="C123" s="401" t="s">
        <v>103</v>
      </c>
      <c r="D123" s="401" t="str">
        <f>'Fonction publique et GRH'!E33</f>
        <v>Formation de 500 personnels de GRH (Total 20 formation ; 3jours de formation x 25 personnes/formation).</v>
      </c>
      <c r="E123" s="553"/>
      <c r="F123" s="369">
        <f>'Fonction publique et GRH'!AL33</f>
        <v>158550</v>
      </c>
      <c r="G123" s="369">
        <f>'Fonction publique et GRH'!AM33</f>
        <v>0</v>
      </c>
      <c r="H123" s="369">
        <f>'Fonction publique et GRH'!AN33</f>
        <v>0</v>
      </c>
      <c r="I123" s="369">
        <f>'Fonction publique et GRH'!AO33</f>
        <v>0</v>
      </c>
      <c r="J123" s="369">
        <f>'Fonction publique et GRH'!AP33</f>
        <v>0</v>
      </c>
      <c r="K123" s="369">
        <f>'Fonction publique et GRH'!AQ33</f>
        <v>0</v>
      </c>
      <c r="L123" s="369">
        <f>'Fonction publique et GRH'!AR33</f>
        <v>158550</v>
      </c>
    </row>
    <row r="124" spans="1:12" ht="47.25" customHeight="1" x14ac:dyDescent="0.2">
      <c r="A124" s="855"/>
      <c r="B124" s="873"/>
      <c r="C124" s="401" t="s">
        <v>104</v>
      </c>
      <c r="D124" s="401" t="str">
        <f>'Fonction publique et GRH'!E34</f>
        <v>Analyse des systèmes de fonctionnement du SIGRH accomplie.</v>
      </c>
      <c r="E124" s="553"/>
      <c r="F124" s="369">
        <f>'Fonction publique et GRH'!AL34</f>
        <v>30000</v>
      </c>
      <c r="G124" s="369">
        <f>'Fonction publique et GRH'!AM34</f>
        <v>30000</v>
      </c>
      <c r="H124" s="369">
        <f>'Fonction publique et GRH'!AN34</f>
        <v>0</v>
      </c>
      <c r="I124" s="369">
        <f>'Fonction publique et GRH'!AO34</f>
        <v>0</v>
      </c>
      <c r="J124" s="369">
        <f>'Fonction publique et GRH'!AP34</f>
        <v>0</v>
      </c>
      <c r="K124" s="369">
        <f>'Fonction publique et GRH'!AQ34</f>
        <v>0</v>
      </c>
      <c r="L124" s="369">
        <f>'Fonction publique et GRH'!AR34</f>
        <v>0</v>
      </c>
    </row>
    <row r="125" spans="1:12" ht="47.25" customHeight="1" x14ac:dyDescent="0.2">
      <c r="A125" s="855"/>
      <c r="B125" s="873"/>
      <c r="C125" s="401" t="s">
        <v>105</v>
      </c>
      <c r="D125" s="401" t="str">
        <f>'Fonction publique et GRH'!E35</f>
        <v>Maintenance du système (50 personnes formées tous les 2 ans - nouveaux spécialistes GRH).</v>
      </c>
      <c r="E125" s="553"/>
      <c r="F125" s="369">
        <f>'Fonction publique et GRH'!AL35</f>
        <v>36150</v>
      </c>
      <c r="G125" s="369">
        <f>'Fonction publique et GRH'!AM35</f>
        <v>0</v>
      </c>
      <c r="H125" s="369">
        <f>'Fonction publique et GRH'!AN35</f>
        <v>0</v>
      </c>
      <c r="I125" s="369">
        <f>'Fonction publique et GRH'!AO35</f>
        <v>0</v>
      </c>
      <c r="J125" s="369">
        <f>'Fonction publique et GRH'!AP35</f>
        <v>0</v>
      </c>
      <c r="K125" s="369">
        <f>'Fonction publique et GRH'!AQ35</f>
        <v>0</v>
      </c>
      <c r="L125" s="369">
        <f>'Fonction publique et GRH'!AR35</f>
        <v>36150</v>
      </c>
    </row>
    <row r="126" spans="1:12" ht="47.25" customHeight="1" thickBot="1" x14ac:dyDescent="0.25">
      <c r="A126" s="382"/>
      <c r="B126" s="873"/>
      <c r="C126" s="403" t="s">
        <v>210</v>
      </c>
      <c r="D126" s="403" t="str">
        <f>'Fonction publique et GRH'!E36</f>
        <v>La mise en place d'un système pour l'avancement professionnel dans la fonction publique (IAP A.1.4).</v>
      </c>
      <c r="E126" s="555"/>
      <c r="F126" s="428">
        <f>'Fonction publique et GRH'!AL36</f>
        <v>350000</v>
      </c>
      <c r="G126" s="428">
        <f>'Fonction publique et GRH'!AM36</f>
        <v>0</v>
      </c>
      <c r="H126" s="428">
        <f>'Fonction publique et GRH'!AN36</f>
        <v>350000</v>
      </c>
      <c r="I126" s="428">
        <f>'Fonction publique et GRH'!AO36</f>
        <v>0</v>
      </c>
      <c r="J126" s="428">
        <f>'Fonction publique et GRH'!AP36</f>
        <v>0</v>
      </c>
      <c r="K126" s="428">
        <f>'Fonction publique et GRH'!AQ36</f>
        <v>0</v>
      </c>
      <c r="L126" s="428">
        <f>'Fonction publique et GRH'!AR36</f>
        <v>0</v>
      </c>
    </row>
    <row r="127" spans="1:12" ht="62.25" customHeight="1" x14ac:dyDescent="0.2">
      <c r="A127" s="877">
        <v>6.9</v>
      </c>
      <c r="B127" s="870" t="s">
        <v>581</v>
      </c>
      <c r="C127" s="430" t="s">
        <v>147</v>
      </c>
      <c r="D127" s="430" t="str">
        <f>EAAP!D8</f>
        <v xml:space="preserve">Réalisation dans les unités et les programmes d'une série d'activités mises à jour pour refléter les exigences et besoins nouveaux engendrés pa la Loi sur la fonction publique. </v>
      </c>
      <c r="E127" s="430"/>
      <c r="F127" s="431">
        <f>EAAP!AU8</f>
        <v>119992</v>
      </c>
      <c r="G127" s="431">
        <f>EAAP!AV8</f>
        <v>35610</v>
      </c>
      <c r="H127" s="431">
        <f>EAAP!AW8</f>
        <v>84382</v>
      </c>
      <c r="I127" s="431">
        <f>EAAP!AX8</f>
        <v>0</v>
      </c>
      <c r="J127" s="431">
        <f>EAAP!AY8</f>
        <v>0</v>
      </c>
      <c r="K127" s="431">
        <f>EAAP!AZ8</f>
        <v>0</v>
      </c>
      <c r="L127" s="432">
        <f>EAAP!BA8</f>
        <v>0</v>
      </c>
    </row>
    <row r="128" spans="1:12" ht="45" customHeight="1" x14ac:dyDescent="0.2">
      <c r="A128" s="878"/>
      <c r="B128" s="871"/>
      <c r="C128" s="401" t="s">
        <v>148</v>
      </c>
      <c r="D128" s="401" t="str">
        <f>EAAP!D10</f>
        <v xml:space="preserve">Identification régulières des besoins en formation grâce à une analyse de ces besoins.  </v>
      </c>
      <c r="E128" s="553"/>
      <c r="F128" s="369">
        <f>EAAP!AU10</f>
        <v>22050</v>
      </c>
      <c r="G128" s="369">
        <f>EAAP!AV10</f>
        <v>7386.75</v>
      </c>
      <c r="H128" s="369">
        <f>EAAP!AW10</f>
        <v>14663.25</v>
      </c>
      <c r="I128" s="369">
        <f>EAAP!AX10</f>
        <v>0</v>
      </c>
      <c r="J128" s="369">
        <f>EAAP!AY10</f>
        <v>0</v>
      </c>
      <c r="K128" s="369">
        <f>EAAP!AZ10</f>
        <v>0</v>
      </c>
      <c r="L128" s="433">
        <f>EAAP!BA10</f>
        <v>0</v>
      </c>
    </row>
    <row r="129" spans="1:12" ht="50.25" customHeight="1" x14ac:dyDescent="0.2">
      <c r="A129" s="878"/>
      <c r="B129" s="871"/>
      <c r="C129" s="401" t="s">
        <v>149</v>
      </c>
      <c r="D129" s="401" t="str">
        <f>EAAP!D11</f>
        <v xml:space="preserve">Augmentation du nombre de programmes de formation concernant l'intégration européenne.  </v>
      </c>
      <c r="E129" s="553"/>
      <c r="F129" s="369">
        <f>EAAP!AU11</f>
        <v>49500</v>
      </c>
      <c r="G129" s="369">
        <f>EAAP!AV11</f>
        <v>0</v>
      </c>
      <c r="H129" s="369">
        <f>EAAP!AW11</f>
        <v>49500</v>
      </c>
      <c r="I129" s="369">
        <f>EAAP!AX11</f>
        <v>0</v>
      </c>
      <c r="J129" s="369">
        <f>EAAP!AY11</f>
        <v>0</v>
      </c>
      <c r="K129" s="369">
        <f>EAAP!AZ11</f>
        <v>0</v>
      </c>
      <c r="L129" s="433">
        <f>EAAP!BA11</f>
        <v>0</v>
      </c>
    </row>
    <row r="130" spans="1:12" ht="69.75" customHeight="1" x14ac:dyDescent="0.2">
      <c r="A130" s="878"/>
      <c r="B130" s="871"/>
      <c r="C130" s="401" t="s">
        <v>150</v>
      </c>
      <c r="D130" s="401" t="str">
        <f>EAAP!D12</f>
        <v xml:space="preserve">Mise à jour et développement du groupe de formateurs spécialisés - Ceci sera réalisé par une mise à jour continue de la base de données d'experts potentiels et par un programme de développement professionnel sur le lieu de travail. </v>
      </c>
      <c r="E130" s="815" t="s">
        <v>694</v>
      </c>
      <c r="F130" s="369">
        <f>EAAP!AU12</f>
        <v>0</v>
      </c>
      <c r="G130" s="369">
        <f>EAAP!AV12</f>
        <v>0</v>
      </c>
      <c r="H130" s="369">
        <f>EAAP!AW12</f>
        <v>0</v>
      </c>
      <c r="I130" s="369">
        <f>EAAP!AX12</f>
        <v>0</v>
      </c>
      <c r="J130" s="369">
        <f>EAAP!AY12</f>
        <v>0</v>
      </c>
      <c r="K130" s="369">
        <f>EAAP!AZ12</f>
        <v>0</v>
      </c>
      <c r="L130" s="433">
        <f>EAAP!BA12</f>
        <v>0</v>
      </c>
    </row>
    <row r="131" spans="1:12" ht="48" customHeight="1" x14ac:dyDescent="0.2">
      <c r="A131" s="878"/>
      <c r="B131" s="871"/>
      <c r="C131" s="401" t="s">
        <v>151</v>
      </c>
      <c r="D131" s="401" t="str">
        <f>EAAP!D13</f>
        <v xml:space="preserve">Finalisation du modèle de développement professionnel tout au long de la vie dans la fonction publique. </v>
      </c>
      <c r="E131" s="553"/>
      <c r="F131" s="369">
        <f>EAAP!AU13</f>
        <v>27150</v>
      </c>
      <c r="G131" s="369">
        <f>EAAP!AV13</f>
        <v>0</v>
      </c>
      <c r="H131" s="369">
        <f>EAAP!AW13</f>
        <v>16180</v>
      </c>
      <c r="I131" s="369">
        <f>EAAP!AX13</f>
        <v>0</v>
      </c>
      <c r="J131" s="369">
        <f>EAAP!AY13</f>
        <v>0</v>
      </c>
      <c r="K131" s="369">
        <f>EAAP!AZ13</f>
        <v>0</v>
      </c>
      <c r="L131" s="433">
        <f>EAAP!BA13</f>
        <v>10970</v>
      </c>
    </row>
    <row r="132" spans="1:12" ht="43.5" customHeight="1" x14ac:dyDescent="0.2">
      <c r="A132" s="878"/>
      <c r="B132" s="871"/>
      <c r="C132" s="401" t="s">
        <v>152</v>
      </c>
      <c r="D132" s="401" t="str">
        <f>EAAP!D15</f>
        <v>Plans de formation obligatoire pendant la période d'essai.</v>
      </c>
      <c r="E132" s="553"/>
      <c r="F132" s="369">
        <f>EAAP!AU15</f>
        <v>271840</v>
      </c>
      <c r="G132" s="369">
        <f>EAAP!AV15</f>
        <v>110266.40000000001</v>
      </c>
      <c r="H132" s="369">
        <f>EAAP!AW15</f>
        <v>123840</v>
      </c>
      <c r="I132" s="369">
        <f>EAAP!AX15</f>
        <v>0</v>
      </c>
      <c r="J132" s="369">
        <f>EAAP!AY15</f>
        <v>0</v>
      </c>
      <c r="K132" s="369">
        <f>EAAP!AZ15</f>
        <v>0</v>
      </c>
      <c r="L132" s="433">
        <f>EAAP!BA15</f>
        <v>37733.599999999977</v>
      </c>
    </row>
    <row r="133" spans="1:12" ht="51.75" customHeight="1" x14ac:dyDescent="0.2">
      <c r="A133" s="878"/>
      <c r="B133" s="871"/>
      <c r="C133" s="401" t="s">
        <v>153</v>
      </c>
      <c r="D133" s="401" t="str">
        <f>EAAP!D18</f>
        <v xml:space="preserve">Rédaction de plans annuels pour la formation des cadres moyens et supérieurs - sur la base du modèle de leadership. </v>
      </c>
      <c r="E133" s="553"/>
      <c r="F133" s="369">
        <f>EAAP!AU18</f>
        <v>159079</v>
      </c>
      <c r="G133" s="369">
        <f>EAAP!AV18</f>
        <v>53291.464999999997</v>
      </c>
      <c r="H133" s="369">
        <f>EAAP!AW18</f>
        <v>159079</v>
      </c>
      <c r="I133" s="369">
        <f>EAAP!AX18</f>
        <v>0</v>
      </c>
      <c r="J133" s="369">
        <f>EAAP!AY18</f>
        <v>0</v>
      </c>
      <c r="K133" s="369">
        <f>EAAP!AZ18</f>
        <v>0</v>
      </c>
      <c r="L133" s="434">
        <f>EAAP!BA18</f>
        <v>-53291.464999999997</v>
      </c>
    </row>
    <row r="134" spans="1:12" ht="46.5" customHeight="1" x14ac:dyDescent="0.2">
      <c r="A134" s="878"/>
      <c r="B134" s="871"/>
      <c r="C134" s="401" t="s">
        <v>154</v>
      </c>
      <c r="D134" s="401" t="str">
        <f>EAAP!D21</f>
        <v xml:space="preserve">Évaluation d'approches alternatives concernant la formation des cadres, y compris l'approche fondée sur les compétences. </v>
      </c>
      <c r="E134" s="553"/>
      <c r="F134" s="369">
        <f>EAAP!AU21</f>
        <v>6900</v>
      </c>
      <c r="G134" s="369">
        <f>EAAP!AV21</f>
        <v>2311.5</v>
      </c>
      <c r="H134" s="369">
        <f>EAAP!AW21</f>
        <v>0</v>
      </c>
      <c r="I134" s="369">
        <f>EAAP!AX21</f>
        <v>0</v>
      </c>
      <c r="J134" s="369">
        <f>EAAP!AY21</f>
        <v>0</v>
      </c>
      <c r="K134" s="369">
        <f>EAAP!AZ21</f>
        <v>0</v>
      </c>
      <c r="L134" s="433">
        <f>EAAP!BA21</f>
        <v>4588.5</v>
      </c>
    </row>
    <row r="135" spans="1:12" ht="51" customHeight="1" thickBot="1" x14ac:dyDescent="0.25">
      <c r="A135" s="878"/>
      <c r="B135" s="872"/>
      <c r="C135" s="435" t="s">
        <v>155</v>
      </c>
      <c r="D135" s="435" t="str">
        <f>EAAP!D23</f>
        <v>Développement de la plateforme d'apprentissage et de formation en ligne et rédaction de programmes utilisant cette plateforme.</v>
      </c>
      <c r="E135" s="435"/>
      <c r="F135" s="436">
        <f>EAAP!AU23</f>
        <v>146000</v>
      </c>
      <c r="G135" s="436">
        <f>EAAP!AV23</f>
        <v>0</v>
      </c>
      <c r="H135" s="436">
        <f>EAAP!AW23</f>
        <v>146000</v>
      </c>
      <c r="I135" s="436">
        <f>EAAP!AX23</f>
        <v>0</v>
      </c>
      <c r="J135" s="436">
        <f>EAAP!AY23</f>
        <v>0</v>
      </c>
      <c r="K135" s="436">
        <f>EAAP!AZ23</f>
        <v>0</v>
      </c>
      <c r="L135" s="437">
        <f>EAAP!BA23</f>
        <v>0</v>
      </c>
    </row>
    <row r="136" spans="1:12" ht="52.5" customHeight="1" x14ac:dyDescent="0.2">
      <c r="A136" s="875">
        <v>6.1</v>
      </c>
      <c r="B136" s="873" t="s">
        <v>711</v>
      </c>
      <c r="C136" s="404" t="s">
        <v>156</v>
      </c>
      <c r="D136" s="404" t="str">
        <f>EAAP!D26</f>
        <v xml:space="preserve">Mise en place de groupes bénéficiaires du service (groupes d'usagers) et/ou de groupes de discussion afin de fournir des retours sur la qualité et l'utilité des services fournis par l'EAAP. </v>
      </c>
      <c r="E136" s="815" t="s">
        <v>694</v>
      </c>
      <c r="F136" s="429">
        <f>EAAP!AU26</f>
        <v>0</v>
      </c>
      <c r="G136" s="429">
        <f>EAAP!AV26</f>
        <v>0</v>
      </c>
      <c r="H136" s="429">
        <f>EAAP!AW26</f>
        <v>0</v>
      </c>
      <c r="I136" s="429">
        <f>EAAP!AX26</f>
        <v>0</v>
      </c>
      <c r="J136" s="429">
        <f>EAAP!AY26</f>
        <v>0</v>
      </c>
      <c r="K136" s="429">
        <f>EAAP!AZ26</f>
        <v>0</v>
      </c>
      <c r="L136" s="429">
        <f>EAAP!BA26</f>
        <v>0</v>
      </c>
    </row>
    <row r="137" spans="1:12" ht="56.25" customHeight="1" x14ac:dyDescent="0.2">
      <c r="A137" s="876"/>
      <c r="B137" s="873"/>
      <c r="C137" s="401" t="s">
        <v>157</v>
      </c>
      <c r="D137" s="401" t="str">
        <f>EAAP!D29</f>
        <v xml:space="preserve">Amélioration du système de retours en général, afin de fournir des données suffisantes et une information disponible sur l'impact des formations. </v>
      </c>
      <c r="E137" s="815" t="s">
        <v>694</v>
      </c>
      <c r="F137" s="376">
        <f>EAAP!AU29</f>
        <v>0</v>
      </c>
      <c r="G137" s="376">
        <f>EAAP!AV29</f>
        <v>0</v>
      </c>
      <c r="H137" s="376">
        <f>EAAP!AW29</f>
        <v>0</v>
      </c>
      <c r="I137" s="376">
        <f>EAAP!AX29</f>
        <v>0</v>
      </c>
      <c r="J137" s="376">
        <f>EAAP!AY29</f>
        <v>0</v>
      </c>
      <c r="K137" s="376">
        <f>EAAP!AZ29</f>
        <v>0</v>
      </c>
      <c r="L137" s="376">
        <f>EAAP!BA29</f>
        <v>0</v>
      </c>
    </row>
    <row r="138" spans="1:12" ht="46.5" customHeight="1" x14ac:dyDescent="0.2">
      <c r="A138" s="876"/>
      <c r="B138" s="873"/>
      <c r="C138" s="401" t="s">
        <v>158</v>
      </c>
      <c r="D138" s="401" t="str">
        <f>EAAP!D33</f>
        <v>Établissement de contacts avec des agences professionnelles et des agences de contrôle de la qualité pour l'éducation/la formation.</v>
      </c>
      <c r="E138" s="553"/>
      <c r="F138" s="369">
        <f>EAAP!AU33</f>
        <v>18120</v>
      </c>
      <c r="G138" s="369">
        <f>EAAP!AV33</f>
        <v>12140.400000000001</v>
      </c>
      <c r="H138" s="369">
        <f>EAAP!AW33</f>
        <v>5980</v>
      </c>
      <c r="I138" s="369">
        <f>EAAP!AX33</f>
        <v>0</v>
      </c>
      <c r="J138" s="369">
        <f>EAAP!AY33</f>
        <v>0</v>
      </c>
      <c r="K138" s="369">
        <f>EAAP!AZ33</f>
        <v>0</v>
      </c>
      <c r="L138" s="369">
        <f>EAAP!BA33</f>
        <v>-0.4000000000005457</v>
      </c>
    </row>
    <row r="139" spans="1:12" ht="63" customHeight="1" x14ac:dyDescent="0.2">
      <c r="A139" s="876"/>
      <c r="B139" s="873"/>
      <c r="C139" s="401" t="s">
        <v>159</v>
      </c>
      <c r="D139" s="401" t="str">
        <f>EAAP!D35</f>
        <v>Élaboration de systèmes et de procédures qui répondent aux normes de contrôle de la qualité établies par les agences de contrôle de l'éducation/la formation.</v>
      </c>
      <c r="E139" s="553"/>
      <c r="F139" s="369">
        <f>EAAP!AU35</f>
        <v>33000</v>
      </c>
      <c r="G139" s="369">
        <f>EAAP!AV35</f>
        <v>0</v>
      </c>
      <c r="H139" s="369">
        <f>EAAP!AW35</f>
        <v>33000</v>
      </c>
      <c r="I139" s="369">
        <f>EAAP!AX35</f>
        <v>0</v>
      </c>
      <c r="J139" s="369">
        <f>EAAP!AY35</f>
        <v>0</v>
      </c>
      <c r="K139" s="369">
        <f>EAAP!AZ35</f>
        <v>0</v>
      </c>
      <c r="L139" s="369">
        <f>EAAP!BA35</f>
        <v>0</v>
      </c>
    </row>
    <row r="140" spans="1:12" ht="49.5" customHeight="1" x14ac:dyDescent="0.2">
      <c r="A140" s="876"/>
      <c r="B140" s="873"/>
      <c r="C140" s="401" t="s">
        <v>160</v>
      </c>
      <c r="D140" s="401" t="str">
        <f>EAAP!D37</f>
        <v xml:space="preserve">Œuvrer pour atteindre le statut de centre d'excellence aux niveaux national et international. </v>
      </c>
      <c r="E140" s="553"/>
      <c r="F140" s="369">
        <f>EAAP!AU37</f>
        <v>25000</v>
      </c>
      <c r="G140" s="369">
        <f>EAAP!AV37</f>
        <v>0</v>
      </c>
      <c r="H140" s="369">
        <f>EAAP!AW37</f>
        <v>25000</v>
      </c>
      <c r="I140" s="369">
        <f>EAAP!AX37</f>
        <v>0</v>
      </c>
      <c r="J140" s="369">
        <f>EAAP!AY37</f>
        <v>0</v>
      </c>
      <c r="K140" s="369">
        <f>EAAP!AZ37</f>
        <v>0</v>
      </c>
      <c r="L140" s="369">
        <f>EAAP!BA37</f>
        <v>0</v>
      </c>
    </row>
    <row r="141" spans="1:12" ht="45" customHeight="1" x14ac:dyDescent="0.2">
      <c r="A141" s="876"/>
      <c r="B141" s="873"/>
      <c r="C141" s="401" t="s">
        <v>161</v>
      </c>
      <c r="D141" s="401" t="str">
        <f>EAAP!D39</f>
        <v xml:space="preserve">Le développement de systèmes qui garantissent que toutes les ressources sont gérées de façon efficace et efficiente, pour un coût minimal. </v>
      </c>
      <c r="E141" s="815" t="s">
        <v>694</v>
      </c>
      <c r="F141" s="369">
        <f>EAAP!AU39</f>
        <v>0</v>
      </c>
      <c r="G141" s="369">
        <f>EAAP!AV39</f>
        <v>0</v>
      </c>
      <c r="H141" s="369">
        <f>EAAP!AW39</f>
        <v>0</v>
      </c>
      <c r="I141" s="369">
        <f>EAAP!AX39</f>
        <v>0</v>
      </c>
      <c r="J141" s="369">
        <f>EAAP!AY39</f>
        <v>0</v>
      </c>
      <c r="K141" s="369">
        <f>EAAP!AZ39</f>
        <v>0</v>
      </c>
      <c r="L141" s="369">
        <f>EAAP!BA39</f>
        <v>0</v>
      </c>
    </row>
    <row r="142" spans="1:12" ht="33" customHeight="1" x14ac:dyDescent="0.2">
      <c r="A142" s="876"/>
      <c r="B142" s="873"/>
      <c r="C142" s="401" t="s">
        <v>162</v>
      </c>
      <c r="D142" s="401" t="str">
        <f>EAAP!D41</f>
        <v xml:space="preserve">Développement d'un système moderne de gestion de la base de données dans le cadre du SIGRH. </v>
      </c>
      <c r="E142" s="553"/>
      <c r="F142" s="369">
        <f>EAAP!AU41</f>
        <v>0</v>
      </c>
      <c r="G142" s="369">
        <f>EAAP!AV41</f>
        <v>0</v>
      </c>
      <c r="H142" s="369">
        <f>EAAP!AW41</f>
        <v>0</v>
      </c>
      <c r="I142" s="369">
        <f>EAAP!AX41</f>
        <v>0</v>
      </c>
      <c r="J142" s="369">
        <f>EAAP!AY41</f>
        <v>0</v>
      </c>
      <c r="K142" s="369">
        <f>EAAP!AZ41</f>
        <v>0</v>
      </c>
      <c r="L142" s="369">
        <f>EAAP!BA41</f>
        <v>0</v>
      </c>
    </row>
    <row r="143" spans="1:12" ht="40.5" customHeight="1" x14ac:dyDescent="0.2">
      <c r="A143" s="876"/>
      <c r="B143" s="873"/>
      <c r="C143" s="401" t="s">
        <v>163</v>
      </c>
      <c r="D143" s="401" t="str">
        <f>EAAP!D42</f>
        <v xml:space="preserve">Développement de la bibliothèque de l'EAAP et préparation d'un centre de gestion de l'information. </v>
      </c>
      <c r="E143" s="553"/>
      <c r="F143" s="369">
        <f>EAAP!AU42</f>
        <v>40500</v>
      </c>
      <c r="G143" s="369">
        <f>EAAP!AV42</f>
        <v>26100</v>
      </c>
      <c r="H143" s="369">
        <f>EAAP!AW42</f>
        <v>14400</v>
      </c>
      <c r="I143" s="369">
        <f>EAAP!AX42</f>
        <v>0</v>
      </c>
      <c r="J143" s="369">
        <f>EAAP!AY42</f>
        <v>0</v>
      </c>
      <c r="K143" s="369">
        <f>EAAP!AZ42</f>
        <v>0</v>
      </c>
      <c r="L143" s="369">
        <f>EAAP!BA42</f>
        <v>0</v>
      </c>
    </row>
    <row r="144" spans="1:12" ht="46.5" customHeight="1" x14ac:dyDescent="0.2">
      <c r="A144" s="876"/>
      <c r="B144" s="873"/>
      <c r="C144" s="401" t="s">
        <v>164</v>
      </c>
      <c r="D144" s="401" t="str">
        <f>EAAP!D44</f>
        <v>Veiller à ce que les locaux de l'EAAP soient dans un immeuble qui convienne à cet effet.</v>
      </c>
      <c r="E144" s="553"/>
      <c r="F144" s="369">
        <f>EAAP!AU44</f>
        <v>70000</v>
      </c>
      <c r="G144" s="369">
        <f>EAAP!AV44</f>
        <v>70000</v>
      </c>
      <c r="H144" s="369">
        <f>EAAP!AW44</f>
        <v>0</v>
      </c>
      <c r="I144" s="369">
        <f>EAAP!AX44</f>
        <v>0</v>
      </c>
      <c r="J144" s="369">
        <f>EAAP!AY44</f>
        <v>0</v>
      </c>
      <c r="K144" s="369">
        <f>EAAP!AZ44</f>
        <v>0</v>
      </c>
      <c r="L144" s="369">
        <f>EAAP!BA44</f>
        <v>0</v>
      </c>
    </row>
    <row r="145" spans="1:19" ht="15.75" customHeight="1" x14ac:dyDescent="0.2">
      <c r="A145" s="378"/>
      <c r="B145" s="860" t="s">
        <v>568</v>
      </c>
      <c r="C145" s="861"/>
      <c r="D145" s="862"/>
      <c r="E145" s="558"/>
      <c r="F145" s="379">
        <f t="shared" ref="F145:L145" si="10">SUM(F105:F144)</f>
        <v>3601931</v>
      </c>
      <c r="G145" s="379">
        <f t="shared" si="10"/>
        <v>567106.51500000001</v>
      </c>
      <c r="H145" s="379">
        <f t="shared" si="10"/>
        <v>1372024.25</v>
      </c>
      <c r="I145" s="379">
        <f t="shared" si="10"/>
        <v>0</v>
      </c>
      <c r="J145" s="379">
        <f t="shared" si="10"/>
        <v>348000</v>
      </c>
      <c r="K145" s="379">
        <f t="shared" si="10"/>
        <v>0</v>
      </c>
      <c r="L145" s="379">
        <f t="shared" si="10"/>
        <v>1314800.2350000001</v>
      </c>
      <c r="M145" s="482">
        <f>'Fonction publique et GRH'!AL37+EAAP!AM45+'Transparence &amp; Anti-corruption '!AL15</f>
        <v>3601931</v>
      </c>
      <c r="N145" s="482">
        <f>'Fonction publique et GRH'!AM37+EAAP!AN45+'Transparence &amp; Anti-corruption '!AM15</f>
        <v>567106.51500000001</v>
      </c>
      <c r="O145" s="482">
        <f>'Fonction publique et GRH'!AN37+EAAP!AO45+'Transparence &amp; Anti-corruption '!AN15</f>
        <v>1372024.25</v>
      </c>
      <c r="P145" s="482">
        <f>'Fonction publique et GRH'!AO37+EAAP!AP45+'Transparence &amp; Anti-corruption '!AO15</f>
        <v>0</v>
      </c>
      <c r="Q145" s="482">
        <f>'Fonction publique et GRH'!AP37+EAAP!AQ45+'Transparence &amp; Anti-corruption '!AP15</f>
        <v>348000</v>
      </c>
      <c r="R145" s="482">
        <f>'Fonction publique et GRH'!AQ37+EAAP!AR45+'Transparence &amp; Anti-corruption '!AQ15</f>
        <v>0</v>
      </c>
      <c r="S145" s="482">
        <f>'Fonction publique et GRH'!AR37+EAAP!AS45+'Transparence &amp; Anti-corruption '!AR15</f>
        <v>1314800.2349999999</v>
      </c>
    </row>
    <row r="146" spans="1:19" ht="39.75" customHeight="1" x14ac:dyDescent="0.2">
      <c r="A146" s="383">
        <v>7</v>
      </c>
      <c r="B146" s="849" t="s">
        <v>589</v>
      </c>
      <c r="C146" s="850"/>
      <c r="D146" s="850"/>
      <c r="E146" s="850"/>
      <c r="F146" s="850"/>
      <c r="G146" s="850"/>
      <c r="H146" s="850"/>
      <c r="I146" s="850"/>
      <c r="J146" s="850"/>
      <c r="K146" s="850"/>
      <c r="L146" s="851"/>
      <c r="M146" s="481">
        <f>F145-M145</f>
        <v>0</v>
      </c>
      <c r="N146" s="481">
        <f t="shared" ref="N146:S146" si="11">G145-N145</f>
        <v>0</v>
      </c>
      <c r="O146" s="481">
        <f t="shared" si="11"/>
        <v>0</v>
      </c>
      <c r="P146" s="481">
        <f t="shared" si="11"/>
        <v>0</v>
      </c>
      <c r="Q146" s="481">
        <f t="shared" si="11"/>
        <v>0</v>
      </c>
      <c r="R146" s="481">
        <f t="shared" si="11"/>
        <v>0</v>
      </c>
      <c r="S146" s="481">
        <f t="shared" si="11"/>
        <v>0</v>
      </c>
    </row>
    <row r="147" spans="1:19" ht="35.25" customHeight="1" x14ac:dyDescent="0.2">
      <c r="A147" s="855">
        <v>7.1</v>
      </c>
      <c r="B147" s="856" t="s">
        <v>712</v>
      </c>
      <c r="C147" s="401" t="s">
        <v>178</v>
      </c>
      <c r="D147" s="401" t="str">
        <f>'Fonction publique et GRH'!E39</f>
        <v>Étude d'évaluation du système de rémunérations</v>
      </c>
      <c r="E147" s="553"/>
      <c r="F147" s="369">
        <f>'Fonction publique et GRH'!AL39</f>
        <v>480000</v>
      </c>
      <c r="G147" s="369">
        <f>'Fonction publique et GRH'!AM39</f>
        <v>50000</v>
      </c>
      <c r="H147" s="369">
        <f>'Fonction publique et GRH'!AN39</f>
        <v>0</v>
      </c>
      <c r="I147" s="369">
        <f>'Fonction publique et GRH'!AO39</f>
        <v>0</v>
      </c>
      <c r="J147" s="369">
        <f>'Fonction publique et GRH'!AP39</f>
        <v>0</v>
      </c>
      <c r="K147" s="369">
        <f>'Fonction publique et GRH'!AQ39</f>
        <v>0</v>
      </c>
      <c r="L147" s="369">
        <f>'Fonction publique et GRH'!AR39</f>
        <v>430000</v>
      </c>
    </row>
    <row r="148" spans="1:19" ht="36.75" customHeight="1" x14ac:dyDescent="0.2">
      <c r="A148" s="855"/>
      <c r="B148" s="856"/>
      <c r="C148" s="401" t="s">
        <v>179</v>
      </c>
      <c r="D148" s="401" t="str">
        <f>'Fonction publique et GRH'!E40</f>
        <v xml:space="preserve">Projet de stratégie élaboré. </v>
      </c>
      <c r="E148" s="553"/>
      <c r="F148" s="369">
        <f>'Fonction publique et GRH'!AL40</f>
        <v>325000</v>
      </c>
      <c r="G148" s="369">
        <f>'Fonction publique et GRH'!AM40</f>
        <v>30000</v>
      </c>
      <c r="H148" s="369">
        <f>'Fonction publique et GRH'!AN40</f>
        <v>0</v>
      </c>
      <c r="I148" s="369">
        <f>'Fonction publique et GRH'!AO40</f>
        <v>0</v>
      </c>
      <c r="J148" s="369">
        <f>'Fonction publique et GRH'!AP40</f>
        <v>0</v>
      </c>
      <c r="K148" s="369">
        <f>'Fonction publique et GRH'!AQ40</f>
        <v>0</v>
      </c>
      <c r="L148" s="369">
        <f>'Fonction publique et GRH'!AR40</f>
        <v>295000</v>
      </c>
    </row>
    <row r="149" spans="1:19" ht="72" customHeight="1" x14ac:dyDescent="0.2">
      <c r="A149" s="371">
        <v>7.2</v>
      </c>
      <c r="B149" s="773" t="s">
        <v>590</v>
      </c>
      <c r="C149" s="401" t="s">
        <v>180</v>
      </c>
      <c r="D149" s="401" t="str">
        <f>'Fonction publique et GRH'!E41</f>
        <v xml:space="preserve">Nouvelle structure de rémunérations adoptée. </v>
      </c>
      <c r="E149" s="815" t="s">
        <v>714</v>
      </c>
      <c r="F149" s="369">
        <f>'Fonction publique et GRH'!AL41</f>
        <v>0</v>
      </c>
      <c r="G149" s="369">
        <f>'Fonction publique et GRH'!AM41</f>
        <v>0</v>
      </c>
      <c r="H149" s="369">
        <f>'Fonction publique et GRH'!AN41</f>
        <v>0</v>
      </c>
      <c r="I149" s="369">
        <f>'Fonction publique et GRH'!AO41</f>
        <v>0</v>
      </c>
      <c r="J149" s="369">
        <f>'Fonction publique et GRH'!AP41</f>
        <v>0</v>
      </c>
      <c r="K149" s="369">
        <f>'Fonction publique et GRH'!AQ41</f>
        <v>0</v>
      </c>
      <c r="L149" s="369">
        <f>'Fonction publique et GRH'!AR41</f>
        <v>0</v>
      </c>
    </row>
    <row r="150" spans="1:19" ht="127.5" x14ac:dyDescent="0.2">
      <c r="A150" s="371">
        <v>7.3</v>
      </c>
      <c r="B150" s="773" t="s">
        <v>713</v>
      </c>
      <c r="C150" s="401" t="s">
        <v>181</v>
      </c>
      <c r="D150" s="401" t="str">
        <f>'Fonction publique et GRH'!E42</f>
        <v>Nouvelle classification des salaires et amendement de la loi sur les taux salariaux.</v>
      </c>
      <c r="E150" s="553"/>
      <c r="F150" s="369">
        <f>'Fonction publique et GRH'!AL42</f>
        <v>5000</v>
      </c>
      <c r="G150" s="369">
        <f>'Fonction publique et GRH'!AM42</f>
        <v>5000</v>
      </c>
      <c r="H150" s="369">
        <f>'Fonction publique et GRH'!AN42</f>
        <v>0</v>
      </c>
      <c r="I150" s="369">
        <f>'Fonction publique et GRH'!AO42</f>
        <v>0</v>
      </c>
      <c r="J150" s="369">
        <f>'Fonction publique et GRH'!AP42</f>
        <v>0</v>
      </c>
      <c r="K150" s="369">
        <f>'Fonction publique et GRH'!AQ42</f>
        <v>0</v>
      </c>
      <c r="L150" s="369">
        <f>'Fonction publique et GRH'!AR42</f>
        <v>0</v>
      </c>
    </row>
    <row r="151" spans="1:19" ht="15.75" customHeight="1" x14ac:dyDescent="0.2">
      <c r="A151" s="378"/>
      <c r="B151" s="860" t="s">
        <v>569</v>
      </c>
      <c r="C151" s="861"/>
      <c r="D151" s="862"/>
      <c r="E151" s="558"/>
      <c r="F151" s="379">
        <f>SUM(F147:F150)</f>
        <v>810000</v>
      </c>
      <c r="G151" s="379">
        <f t="shared" ref="G151:L151" si="12">SUM(G147:G150)</f>
        <v>85000</v>
      </c>
      <c r="H151" s="379">
        <f t="shared" si="12"/>
        <v>0</v>
      </c>
      <c r="I151" s="379">
        <f t="shared" si="12"/>
        <v>0</v>
      </c>
      <c r="J151" s="379">
        <f t="shared" si="12"/>
        <v>0</v>
      </c>
      <c r="K151" s="379">
        <f t="shared" si="12"/>
        <v>0</v>
      </c>
      <c r="L151" s="379">
        <f t="shared" si="12"/>
        <v>725000</v>
      </c>
      <c r="M151" s="482">
        <f>'Fonction publique et GRH'!AL43</f>
        <v>810000</v>
      </c>
      <c r="N151" s="482">
        <f>'Fonction publique et GRH'!AM43</f>
        <v>85000</v>
      </c>
      <c r="O151" s="482">
        <f>'Fonction publique et GRH'!AN43</f>
        <v>0</v>
      </c>
      <c r="P151" s="482">
        <f>'Fonction publique et GRH'!AO43</f>
        <v>0</v>
      </c>
      <c r="Q151" s="482">
        <f>'Fonction publique et GRH'!AP43</f>
        <v>0</v>
      </c>
      <c r="R151" s="482">
        <f>'Fonction publique et GRH'!AQ43</f>
        <v>0</v>
      </c>
      <c r="S151" s="482">
        <f>'Fonction publique et GRH'!AR43</f>
        <v>725000</v>
      </c>
    </row>
    <row r="152" spans="1:19" ht="27" customHeight="1" x14ac:dyDescent="0.2">
      <c r="A152" s="383">
        <v>8</v>
      </c>
      <c r="B152" s="849" t="s">
        <v>509</v>
      </c>
      <c r="C152" s="850"/>
      <c r="D152" s="850"/>
      <c r="E152" s="850"/>
      <c r="F152" s="850"/>
      <c r="G152" s="850"/>
      <c r="H152" s="850"/>
      <c r="I152" s="850"/>
      <c r="J152" s="850"/>
      <c r="K152" s="850"/>
      <c r="L152" s="851"/>
      <c r="M152" s="481">
        <f>F151-M151</f>
        <v>0</v>
      </c>
      <c r="N152" s="481">
        <f t="shared" ref="N152:S152" si="13">G151-N151</f>
        <v>0</v>
      </c>
      <c r="O152" s="481">
        <f t="shared" si="13"/>
        <v>0</v>
      </c>
      <c r="P152" s="481">
        <f t="shared" si="13"/>
        <v>0</v>
      </c>
      <c r="Q152" s="481">
        <f t="shared" si="13"/>
        <v>0</v>
      </c>
      <c r="R152" s="481">
        <f t="shared" si="13"/>
        <v>0</v>
      </c>
      <c r="S152" s="481">
        <f t="shared" si="13"/>
        <v>0</v>
      </c>
    </row>
    <row r="153" spans="1:19" ht="41.25" customHeight="1" x14ac:dyDescent="0.2">
      <c r="A153" s="855">
        <v>8.1</v>
      </c>
      <c r="B153" s="856" t="s">
        <v>715</v>
      </c>
      <c r="C153" s="401" t="s">
        <v>129</v>
      </c>
      <c r="D153" s="401" t="str">
        <f>Innovation!E16</f>
        <v>Restructuration des services publics - Identification, évaluation et définition des procédures standard pour 300+ services publics</v>
      </c>
      <c r="E153" s="553"/>
      <c r="F153" s="369">
        <f>Innovation!AM16</f>
        <v>5825000</v>
      </c>
      <c r="G153" s="369">
        <f>Innovation!AN16</f>
        <v>1510422.4999999998</v>
      </c>
      <c r="H153" s="369">
        <f>Innovation!AO16</f>
        <v>0</v>
      </c>
      <c r="I153" s="369">
        <f>Innovation!AP16</f>
        <v>0</v>
      </c>
      <c r="J153" s="369">
        <f>Innovation!AQ16</f>
        <v>0</v>
      </c>
      <c r="K153" s="369">
        <f>Innovation!AR16</f>
        <v>0</v>
      </c>
      <c r="L153" s="369">
        <f>Innovation!AS16</f>
        <v>4314577.5</v>
      </c>
    </row>
    <row r="154" spans="1:19" ht="49.5" customHeight="1" x14ac:dyDescent="0.2">
      <c r="A154" s="855"/>
      <c r="B154" s="856"/>
      <c r="C154" s="401" t="s">
        <v>130</v>
      </c>
      <c r="D154" s="401" t="str">
        <f>Innovation!E17</f>
        <v>Rédaction de manuels pour la réglementation des procédures de service ;</v>
      </c>
      <c r="E154" s="553"/>
      <c r="F154" s="369">
        <f>Innovation!AM17</f>
        <v>437500</v>
      </c>
      <c r="G154" s="369">
        <f>Innovation!AN17</f>
        <v>113443.74999999999</v>
      </c>
      <c r="H154" s="369">
        <f>Innovation!AO17</f>
        <v>0</v>
      </c>
      <c r="I154" s="369">
        <f>Innovation!AP17</f>
        <v>0</v>
      </c>
      <c r="J154" s="369">
        <f>Innovation!AQ17</f>
        <v>0</v>
      </c>
      <c r="K154" s="369">
        <f>Innovation!AR17</f>
        <v>0</v>
      </c>
      <c r="L154" s="369">
        <f>Innovation!AS17</f>
        <v>324056.25</v>
      </c>
    </row>
    <row r="155" spans="1:19" ht="84" customHeight="1" x14ac:dyDescent="0.2">
      <c r="A155" s="371">
        <v>8.1999999999999993</v>
      </c>
      <c r="B155" s="773" t="s">
        <v>513</v>
      </c>
      <c r="C155" s="401" t="s">
        <v>131</v>
      </c>
      <c r="D155" s="401" t="str">
        <f>Innovation!E18</f>
        <v>Étude de faisabilité pour le modèle de services centrés sur les citoyens.</v>
      </c>
      <c r="E155" s="553"/>
      <c r="F155" s="369">
        <f>Innovation!AM18</f>
        <v>1350000</v>
      </c>
      <c r="G155" s="369">
        <f>Innovation!AN18</f>
        <v>350000</v>
      </c>
      <c r="H155" s="369">
        <f>Innovation!AO18</f>
        <v>0</v>
      </c>
      <c r="I155" s="369">
        <f>Innovation!AP18</f>
        <v>0</v>
      </c>
      <c r="J155" s="369">
        <f>Innovation!AQ18</f>
        <v>1000000</v>
      </c>
      <c r="K155" s="369">
        <f>Innovation!AR18</f>
        <v>0</v>
      </c>
      <c r="L155" s="369">
        <f>Innovation!AS18</f>
        <v>0</v>
      </c>
    </row>
    <row r="156" spans="1:19" ht="57.6" customHeight="1" x14ac:dyDescent="0.2">
      <c r="A156" s="371">
        <v>8.3000000000000007</v>
      </c>
      <c r="B156" s="773" t="s">
        <v>592</v>
      </c>
      <c r="C156" s="401" t="s">
        <v>132</v>
      </c>
      <c r="D156" s="401" t="str">
        <f>Innovation!E19</f>
        <v>Mener l'étude sur la réorganisation des institutions publiques.</v>
      </c>
      <c r="E156" s="553"/>
      <c r="F156" s="369">
        <f>Innovation!AM19</f>
        <v>1206250</v>
      </c>
      <c r="G156" s="369">
        <f>Innovation!AN19</f>
        <v>312780.62499999994</v>
      </c>
      <c r="H156" s="369">
        <f>Innovation!AO19</f>
        <v>25992</v>
      </c>
      <c r="I156" s="369">
        <f>Innovation!AP19</f>
        <v>0</v>
      </c>
      <c r="J156" s="369">
        <f>Innovation!AQ19</f>
        <v>0</v>
      </c>
      <c r="K156" s="369">
        <f>Innovation!AR19</f>
        <v>0</v>
      </c>
      <c r="L156" s="369">
        <f>Innovation!AS19</f>
        <v>867477.375</v>
      </c>
    </row>
    <row r="157" spans="1:19" ht="25.5" x14ac:dyDescent="0.2">
      <c r="A157" s="855">
        <v>8.4</v>
      </c>
      <c r="B157" s="856" t="s">
        <v>595</v>
      </c>
      <c r="C157" s="401" t="s">
        <v>182</v>
      </c>
      <c r="D157" s="401" t="str">
        <f>Innovation!E20</f>
        <v>Achèvement de l'Étude sur la consolidation de l'analyse de la situation initiale (référence).</v>
      </c>
      <c r="E157" s="553"/>
      <c r="F157" s="369">
        <f>Innovation!AM20</f>
        <v>241152</v>
      </c>
      <c r="G157" s="369">
        <f>Innovation!AN20</f>
        <v>35714.611199999999</v>
      </c>
      <c r="H157" s="369">
        <f>Innovation!AO20</f>
        <v>0</v>
      </c>
      <c r="I157" s="369">
        <f>Innovation!AP20</f>
        <v>0</v>
      </c>
      <c r="J157" s="369">
        <f>Innovation!AQ20</f>
        <v>0</v>
      </c>
      <c r="K157" s="369">
        <f>Innovation!AR20</f>
        <v>0</v>
      </c>
      <c r="L157" s="369">
        <f>Innovation!AS20</f>
        <v>205437.38880000002</v>
      </c>
    </row>
    <row r="158" spans="1:19" ht="59.25" customHeight="1" x14ac:dyDescent="0.2">
      <c r="A158" s="855"/>
      <c r="B158" s="856"/>
      <c r="C158" s="401" t="s">
        <v>183</v>
      </c>
      <c r="D158" s="401" t="str">
        <f>Innovation!E21</f>
        <v>Identification des macro secteurs nécessitant des changements (Analyses des lacunes juridiques).</v>
      </c>
      <c r="E158" s="553"/>
      <c r="F158" s="369">
        <f>Innovation!AM21</f>
        <v>583750</v>
      </c>
      <c r="G158" s="369">
        <f>Innovation!AN21</f>
        <v>0</v>
      </c>
      <c r="H158" s="369">
        <f>Innovation!AO21</f>
        <v>0</v>
      </c>
      <c r="I158" s="369">
        <f>Innovation!AP21</f>
        <v>0</v>
      </c>
      <c r="J158" s="369">
        <f>Innovation!AQ21</f>
        <v>583750</v>
      </c>
      <c r="K158" s="369">
        <f>Innovation!AR21</f>
        <v>0</v>
      </c>
      <c r="L158" s="369">
        <f>Innovation!AS21</f>
        <v>0</v>
      </c>
    </row>
    <row r="159" spans="1:19" ht="67.5" customHeight="1" x14ac:dyDescent="0.2">
      <c r="A159" s="371">
        <v>8.5</v>
      </c>
      <c r="B159" s="773" t="s">
        <v>597</v>
      </c>
      <c r="C159" s="401" t="s">
        <v>184</v>
      </c>
      <c r="D159" s="401" t="str">
        <f>Innovation!E22</f>
        <v>Formulaires de services unifiés et codifiés (services unifiés totalement codifiés en 2015, tous les services en 2017).</v>
      </c>
      <c r="E159" s="553"/>
      <c r="F159" s="369">
        <f>Innovation!AM22</f>
        <v>150000</v>
      </c>
      <c r="G159" s="369">
        <f>Innovation!AN22</f>
        <v>0</v>
      </c>
      <c r="H159" s="369">
        <f>Innovation!AO22</f>
        <v>150000</v>
      </c>
      <c r="I159" s="369">
        <f>Innovation!AP22</f>
        <v>0</v>
      </c>
      <c r="J159" s="369">
        <f>Innovation!AQ22</f>
        <v>0</v>
      </c>
      <c r="K159" s="369">
        <f>Innovation!AR22</f>
        <v>0</v>
      </c>
      <c r="L159" s="369">
        <f>Innovation!AS22</f>
        <v>0</v>
      </c>
    </row>
    <row r="160" spans="1:19" ht="15.75" customHeight="1" x14ac:dyDescent="0.2">
      <c r="A160" s="855">
        <v>8.6</v>
      </c>
      <c r="B160" s="856" t="s">
        <v>517</v>
      </c>
      <c r="C160" s="401" t="s">
        <v>185</v>
      </c>
      <c r="D160" s="401" t="str">
        <f>Innovation!E23</f>
        <v>Propositions de modifications juridiques et administratives.</v>
      </c>
      <c r="E160" s="553"/>
      <c r="F160" s="369">
        <f>Innovation!AM23</f>
        <v>1096250</v>
      </c>
      <c r="G160" s="369">
        <f>Innovation!AN23</f>
        <v>0</v>
      </c>
      <c r="H160" s="369">
        <f>Innovation!AO23</f>
        <v>1096250</v>
      </c>
      <c r="I160" s="369">
        <f>Innovation!AP23</f>
        <v>0</v>
      </c>
      <c r="J160" s="369">
        <f>Innovation!AQ23</f>
        <v>0</v>
      </c>
      <c r="K160" s="369">
        <f>Innovation!AR23</f>
        <v>0</v>
      </c>
      <c r="L160" s="369">
        <f>Innovation!AS23</f>
        <v>0</v>
      </c>
    </row>
    <row r="161" spans="1:20" ht="22.5" customHeight="1" x14ac:dyDescent="0.2">
      <c r="A161" s="855"/>
      <c r="B161" s="856"/>
      <c r="C161" s="401" t="s">
        <v>186</v>
      </c>
      <c r="D161" s="401" t="str">
        <f>Innovation!E24</f>
        <v>Validation des modifications apportées au cadre juridique</v>
      </c>
      <c r="E161" s="553"/>
      <c r="F161" s="369">
        <f>Innovation!AM24</f>
        <v>0</v>
      </c>
      <c r="G161" s="369">
        <f>Innovation!AN24</f>
        <v>0</v>
      </c>
      <c r="H161" s="369">
        <f>Innovation!AO24</f>
        <v>0</v>
      </c>
      <c r="I161" s="369">
        <f>Innovation!AP24</f>
        <v>0</v>
      </c>
      <c r="J161" s="369">
        <f>Innovation!AQ24</f>
        <v>0</v>
      </c>
      <c r="K161" s="369">
        <f>Innovation!AR24</f>
        <v>0</v>
      </c>
      <c r="L161" s="369">
        <f>Innovation!AS24</f>
        <v>0</v>
      </c>
    </row>
    <row r="162" spans="1:20" ht="30.75" customHeight="1" x14ac:dyDescent="0.2">
      <c r="A162" s="855"/>
      <c r="B162" s="856"/>
      <c r="C162" s="401" t="s">
        <v>187</v>
      </c>
      <c r="D162" s="401" t="str">
        <f>Innovation!E25</f>
        <v>Finalisation des modifications institutionnelles et administratives</v>
      </c>
      <c r="E162" s="553"/>
      <c r="F162" s="369">
        <f>Innovation!AM25</f>
        <v>0</v>
      </c>
      <c r="G162" s="369">
        <f>Innovation!AN25</f>
        <v>0</v>
      </c>
      <c r="H162" s="369">
        <f>Innovation!AO25</f>
        <v>0</v>
      </c>
      <c r="I162" s="369">
        <f>Innovation!AP25</f>
        <v>0</v>
      </c>
      <c r="J162" s="369">
        <f>Innovation!AQ25</f>
        <v>0</v>
      </c>
      <c r="K162" s="369">
        <f>Innovation!AR25</f>
        <v>0</v>
      </c>
      <c r="L162" s="369">
        <f>Innovation!AS25</f>
        <v>0</v>
      </c>
    </row>
    <row r="163" spans="1:20" ht="24" customHeight="1" x14ac:dyDescent="0.2">
      <c r="A163" s="855">
        <v>8.6999999999999993</v>
      </c>
      <c r="B163" s="856" t="s">
        <v>520</v>
      </c>
      <c r="C163" s="401" t="s">
        <v>188</v>
      </c>
      <c r="D163" s="401" t="str">
        <f>Innovation!E26</f>
        <v>Préparation de programmes de formation.</v>
      </c>
      <c r="E163" s="553"/>
      <c r="F163" s="369">
        <f>Innovation!AM26</f>
        <v>6000</v>
      </c>
      <c r="G163" s="369">
        <f>Innovation!AN26</f>
        <v>0</v>
      </c>
      <c r="H163" s="369">
        <f>Innovation!AO26</f>
        <v>0</v>
      </c>
      <c r="I163" s="369">
        <f>Innovation!AP26</f>
        <v>0</v>
      </c>
      <c r="J163" s="369">
        <f>Innovation!AQ26</f>
        <v>0</v>
      </c>
      <c r="K163" s="369">
        <f>Innovation!AR26</f>
        <v>0</v>
      </c>
      <c r="L163" s="369">
        <f>Innovation!AS26</f>
        <v>6000</v>
      </c>
    </row>
    <row r="164" spans="1:20" ht="51" customHeight="1" x14ac:dyDescent="0.2">
      <c r="A164" s="855"/>
      <c r="B164" s="856"/>
      <c r="C164" s="401" t="s">
        <v>189</v>
      </c>
      <c r="D164" s="401" t="str">
        <f>Innovation!E27</f>
        <v xml:space="preserve"> Sessions de formation générale  (2017)</v>
      </c>
      <c r="E164" s="553"/>
      <c r="F164" s="369">
        <f>Innovation!AM27</f>
        <v>74175</v>
      </c>
      <c r="G164" s="369">
        <f>Innovation!AN27</f>
        <v>0</v>
      </c>
      <c r="H164" s="369">
        <f>Innovation!AO27</f>
        <v>0</v>
      </c>
      <c r="I164" s="369">
        <f>Innovation!AP27</f>
        <v>0</v>
      </c>
      <c r="J164" s="369">
        <f>Innovation!AQ27</f>
        <v>0</v>
      </c>
      <c r="K164" s="369">
        <f>Innovation!AR27</f>
        <v>0</v>
      </c>
      <c r="L164" s="369">
        <f>Innovation!AS27</f>
        <v>74175</v>
      </c>
    </row>
    <row r="165" spans="1:20" ht="15.75" customHeight="1" x14ac:dyDescent="0.2">
      <c r="A165" s="378"/>
      <c r="B165" s="860" t="s">
        <v>570</v>
      </c>
      <c r="C165" s="861"/>
      <c r="D165" s="862"/>
      <c r="E165" s="558"/>
      <c r="F165" s="379">
        <f>SUM(F153:F164)</f>
        <v>10970077</v>
      </c>
      <c r="G165" s="379">
        <f t="shared" ref="G165:L165" si="14">SUM(G153:G164)</f>
        <v>2322361.4861999997</v>
      </c>
      <c r="H165" s="379">
        <f t="shared" si="14"/>
        <v>1272242</v>
      </c>
      <c r="I165" s="379">
        <f t="shared" si="14"/>
        <v>0</v>
      </c>
      <c r="J165" s="379">
        <f t="shared" si="14"/>
        <v>1583750</v>
      </c>
      <c r="K165" s="379">
        <f t="shared" si="14"/>
        <v>0</v>
      </c>
      <c r="L165" s="379">
        <f t="shared" si="14"/>
        <v>5791723.5137999998</v>
      </c>
      <c r="M165" s="482">
        <f>Innovation!AM28</f>
        <v>10970077</v>
      </c>
      <c r="N165" s="482">
        <f>Innovation!AN28</f>
        <v>2322361.4861999997</v>
      </c>
      <c r="O165" s="482">
        <f>Innovation!AO28</f>
        <v>1272242</v>
      </c>
      <c r="P165" s="482">
        <f>Innovation!AP28</f>
        <v>0</v>
      </c>
      <c r="Q165" s="482">
        <f>Innovation!AQ28</f>
        <v>1583750</v>
      </c>
      <c r="R165" s="482">
        <f>Innovation!AR28</f>
        <v>0</v>
      </c>
      <c r="S165" s="482">
        <f>Innovation!AS28</f>
        <v>5791723.5137999998</v>
      </c>
    </row>
    <row r="166" spans="1:20" ht="42.75" customHeight="1" x14ac:dyDescent="0.2">
      <c r="A166" s="383">
        <v>9</v>
      </c>
      <c r="B166" s="857" t="s">
        <v>632</v>
      </c>
      <c r="C166" s="858"/>
      <c r="D166" s="858"/>
      <c r="E166" s="858"/>
      <c r="F166" s="858"/>
      <c r="G166" s="858"/>
      <c r="H166" s="858"/>
      <c r="I166" s="858"/>
      <c r="J166" s="858"/>
      <c r="K166" s="858"/>
      <c r="L166" s="859"/>
      <c r="M166" s="481">
        <f t="shared" ref="M166:S166" si="15">F165-M165</f>
        <v>0</v>
      </c>
      <c r="N166" s="481">
        <f t="shared" si="15"/>
        <v>0</v>
      </c>
      <c r="O166" s="481">
        <f t="shared" si="15"/>
        <v>0</v>
      </c>
      <c r="P166" s="481">
        <f t="shared" si="15"/>
        <v>0</v>
      </c>
      <c r="Q166" s="481">
        <f t="shared" si="15"/>
        <v>0</v>
      </c>
      <c r="R166" s="481">
        <f t="shared" si="15"/>
        <v>0</v>
      </c>
      <c r="S166" s="481">
        <f t="shared" si="15"/>
        <v>0</v>
      </c>
    </row>
    <row r="167" spans="1:20" ht="47.25" customHeight="1" x14ac:dyDescent="0.2">
      <c r="A167" s="371">
        <v>9.1</v>
      </c>
      <c r="B167" s="773" t="s">
        <v>596</v>
      </c>
      <c r="C167" s="401" t="s">
        <v>133</v>
      </c>
      <c r="D167" s="401" t="str">
        <f>Innovation!E30</f>
        <v xml:space="preserve">Étude de l'analyse de la situation des principaux registres </v>
      </c>
      <c r="E167" s="553"/>
      <c r="F167" s="369">
        <f>Innovation!AM30</f>
        <v>200000</v>
      </c>
      <c r="G167" s="369">
        <f>Innovation!AN30</f>
        <v>0</v>
      </c>
      <c r="H167" s="369">
        <f>Innovation!AO30</f>
        <v>0</v>
      </c>
      <c r="I167" s="369">
        <f>Innovation!AP30</f>
        <v>0</v>
      </c>
      <c r="J167" s="369">
        <f>Innovation!AQ30</f>
        <v>0</v>
      </c>
      <c r="K167" s="369">
        <f>Innovation!AR30</f>
        <v>0</v>
      </c>
      <c r="L167" s="369">
        <f>Innovation!AS30</f>
        <v>200000</v>
      </c>
    </row>
    <row r="168" spans="1:20" ht="38.25" x14ac:dyDescent="0.2">
      <c r="A168" s="855">
        <v>9.1999999999999993</v>
      </c>
      <c r="B168" s="856" t="s">
        <v>598</v>
      </c>
      <c r="C168" s="401" t="s">
        <v>134</v>
      </c>
      <c r="D168" s="401" t="str">
        <f>Innovation!E31</f>
        <v>Préparation d'un système intégré de TIC (fondé sur les exigences du processus de restructuration des services) ;</v>
      </c>
      <c r="E168" s="553"/>
      <c r="F168" s="369">
        <f>Innovation!AM31</f>
        <v>1350000</v>
      </c>
      <c r="G168" s="369">
        <f>Innovation!AN31</f>
        <v>350000</v>
      </c>
      <c r="H168" s="369">
        <f>Innovation!AO31</f>
        <v>0</v>
      </c>
      <c r="I168" s="369">
        <f>Innovation!AP31</f>
        <v>0</v>
      </c>
      <c r="J168" s="369">
        <f>Innovation!AQ31</f>
        <v>0</v>
      </c>
      <c r="K168" s="369">
        <f>Innovation!AR31</f>
        <v>0</v>
      </c>
      <c r="L168" s="369">
        <f>Innovation!AS31</f>
        <v>1000000</v>
      </c>
    </row>
    <row r="169" spans="1:20" ht="25.5" x14ac:dyDescent="0.2">
      <c r="A169" s="855"/>
      <c r="B169" s="856"/>
      <c r="C169" s="401" t="s">
        <v>135</v>
      </c>
      <c r="D169" s="401" t="str">
        <f>Innovation!E32</f>
        <v xml:space="preserve">Développement et consolidation du système ; Documents pour la formation des utilisateurs ; </v>
      </c>
      <c r="E169" s="553"/>
      <c r="F169" s="369">
        <f>Innovation!AM32</f>
        <v>11821000</v>
      </c>
      <c r="G169" s="369">
        <f>Innovation!AN32</f>
        <v>1550000</v>
      </c>
      <c r="H169" s="369">
        <f>Innovation!AO32</f>
        <v>0</v>
      </c>
      <c r="I169" s="369">
        <f>Innovation!AP32</f>
        <v>0</v>
      </c>
      <c r="J169" s="369">
        <f>Innovation!AQ32</f>
        <v>0</v>
      </c>
      <c r="K169" s="369">
        <f>Innovation!AR32</f>
        <v>0</v>
      </c>
      <c r="L169" s="369">
        <f>Innovation!AS32</f>
        <v>10271000</v>
      </c>
    </row>
    <row r="170" spans="1:20" ht="39" customHeight="1" x14ac:dyDescent="0.2">
      <c r="A170" s="855"/>
      <c r="B170" s="856"/>
      <c r="C170" s="401" t="s">
        <v>136</v>
      </c>
      <c r="D170" s="401" t="str">
        <f>Innovation!E33</f>
        <v>Sessions de formaiton pour les utilisateurs du système de TIC (2017)</v>
      </c>
      <c r="E170" s="553"/>
      <c r="F170" s="369">
        <f>Innovation!AM33</f>
        <v>126081</v>
      </c>
      <c r="G170" s="369">
        <f>Innovation!AN33</f>
        <v>74175</v>
      </c>
      <c r="H170" s="369">
        <f>Innovation!AO33</f>
        <v>0</v>
      </c>
      <c r="I170" s="369">
        <f>Innovation!AP33</f>
        <v>0</v>
      </c>
      <c r="J170" s="369">
        <f>Innovation!AQ33</f>
        <v>51906</v>
      </c>
      <c r="K170" s="369">
        <f>Innovation!AR33</f>
        <v>0</v>
      </c>
      <c r="L170" s="369">
        <f>Innovation!AS33</f>
        <v>0</v>
      </c>
    </row>
    <row r="171" spans="1:20" ht="96" customHeight="1" x14ac:dyDescent="0.2">
      <c r="A171" s="371">
        <v>9.3000000000000007</v>
      </c>
      <c r="B171" s="773" t="s">
        <v>599</v>
      </c>
      <c r="C171" s="401" t="s">
        <v>137</v>
      </c>
      <c r="D171" s="401" t="str">
        <f>Innovation!E34</f>
        <v xml:space="preserve">Élaboration d'un système permettant de rapporter les réactions des citoyens et de suivre les plaintes pour toutes les catégories de services fournis par l'administration.  </v>
      </c>
      <c r="E171" s="553"/>
      <c r="F171" s="369">
        <f>Innovation!AM34</f>
        <v>211000</v>
      </c>
      <c r="G171" s="369">
        <f>Innovation!AN34</f>
        <v>0</v>
      </c>
      <c r="H171" s="369">
        <f>Innovation!AO34</f>
        <v>0</v>
      </c>
      <c r="I171" s="369">
        <f>Innovation!AP34</f>
        <v>0</v>
      </c>
      <c r="J171" s="369">
        <f>Innovation!AQ34</f>
        <v>211000</v>
      </c>
      <c r="K171" s="369">
        <f>Innovation!AR34</f>
        <v>0</v>
      </c>
      <c r="L171" s="369">
        <f>Innovation!AS34</f>
        <v>0</v>
      </c>
    </row>
    <row r="172" spans="1:20" s="154" customFormat="1" ht="15.75" customHeight="1" x14ac:dyDescent="0.2">
      <c r="A172" s="384"/>
      <c r="B172" s="867" t="s">
        <v>571</v>
      </c>
      <c r="C172" s="868"/>
      <c r="D172" s="869"/>
      <c r="E172" s="559"/>
      <c r="F172" s="379">
        <f t="shared" ref="F172:L172" si="16">SUM(F167:F171)</f>
        <v>13708081</v>
      </c>
      <c r="G172" s="379">
        <f t="shared" si="16"/>
        <v>1974175</v>
      </c>
      <c r="H172" s="379">
        <f t="shared" si="16"/>
        <v>0</v>
      </c>
      <c r="I172" s="379">
        <f t="shared" si="16"/>
        <v>0</v>
      </c>
      <c r="J172" s="379">
        <f t="shared" si="16"/>
        <v>262906</v>
      </c>
      <c r="K172" s="379">
        <f t="shared" si="16"/>
        <v>0</v>
      </c>
      <c r="L172" s="379">
        <f t="shared" si="16"/>
        <v>11471000</v>
      </c>
      <c r="M172" s="483">
        <f>Innovation!AM35</f>
        <v>13708081</v>
      </c>
      <c r="N172" s="483">
        <f>Innovation!AN35</f>
        <v>1974175</v>
      </c>
      <c r="O172" s="483">
        <f>Innovation!AO35</f>
        <v>0</v>
      </c>
      <c r="P172" s="483">
        <f>Innovation!AP35</f>
        <v>0</v>
      </c>
      <c r="Q172" s="483">
        <f>Innovation!AQ35</f>
        <v>262906</v>
      </c>
      <c r="R172" s="483">
        <f>Innovation!AR35</f>
        <v>0</v>
      </c>
      <c r="S172" s="483">
        <f>Innovation!AS35</f>
        <v>11471000</v>
      </c>
      <c r="T172" s="45"/>
    </row>
    <row r="173" spans="1:20" ht="26.25" customHeight="1" x14ac:dyDescent="0.2">
      <c r="A173" s="383">
        <v>10</v>
      </c>
      <c r="B173" s="852" t="s">
        <v>631</v>
      </c>
      <c r="C173" s="853"/>
      <c r="D173" s="853"/>
      <c r="E173" s="853"/>
      <c r="F173" s="853"/>
      <c r="G173" s="853"/>
      <c r="H173" s="853"/>
      <c r="I173" s="853"/>
      <c r="J173" s="853"/>
      <c r="K173" s="853"/>
      <c r="L173" s="854"/>
      <c r="M173" s="481">
        <f>F172-M172</f>
        <v>0</v>
      </c>
      <c r="N173" s="481">
        <f t="shared" ref="N173:S173" si="17">G172-N172</f>
        <v>0</v>
      </c>
      <c r="O173" s="481">
        <f t="shared" si="17"/>
        <v>0</v>
      </c>
      <c r="P173" s="481">
        <f t="shared" si="17"/>
        <v>0</v>
      </c>
      <c r="Q173" s="481">
        <f t="shared" si="17"/>
        <v>0</v>
      </c>
      <c r="R173" s="481">
        <f t="shared" si="17"/>
        <v>0</v>
      </c>
      <c r="S173" s="481">
        <f t="shared" si="17"/>
        <v>0</v>
      </c>
    </row>
    <row r="174" spans="1:20" ht="60" customHeight="1" x14ac:dyDescent="0.2">
      <c r="A174" s="863">
        <v>10.1</v>
      </c>
      <c r="B174" s="865" t="s">
        <v>716</v>
      </c>
      <c r="C174" s="401" t="s">
        <v>165</v>
      </c>
      <c r="D174" s="401" t="str">
        <f>'Transparence &amp; Anti-corruption '!E17</f>
        <v>Mise en œuvre du programme de renforcement des compétences pour les ministères sectoriels et les UGL, en ce qui concerne l'application du Code de procédure administrative (IAP A.1.1)</v>
      </c>
      <c r="E174" s="553"/>
      <c r="F174" s="369">
        <f>'Transparence &amp; Anti-corruption '!AL17</f>
        <v>700000</v>
      </c>
      <c r="G174" s="369">
        <f>'Transparence &amp; Anti-corruption '!AM17</f>
        <v>0</v>
      </c>
      <c r="H174" s="369">
        <f>'Transparence &amp; Anti-corruption '!AN17</f>
        <v>700000</v>
      </c>
      <c r="I174" s="369">
        <f>'Transparence &amp; Anti-corruption '!AO17</f>
        <v>0</v>
      </c>
      <c r="J174" s="369">
        <f>'Transparence &amp; Anti-corruption '!AP17</f>
        <v>0</v>
      </c>
      <c r="K174" s="369">
        <f>'Transparence &amp; Anti-corruption '!AQ17</f>
        <v>0</v>
      </c>
      <c r="L174" s="369">
        <f>'Transparence &amp; Anti-corruption '!AR17</f>
        <v>0</v>
      </c>
    </row>
    <row r="175" spans="1:20" ht="36" customHeight="1" x14ac:dyDescent="0.2">
      <c r="A175" s="864"/>
      <c r="B175" s="866"/>
      <c r="C175" s="401" t="s">
        <v>166</v>
      </c>
      <c r="D175" s="553" t="str">
        <f>'Transparence &amp; Anti-corruption '!E18</f>
        <v>Développement des projets pilotes de délégation de prise de décisions.</v>
      </c>
      <c r="E175" s="553"/>
      <c r="F175" s="369">
        <f>'Transparence &amp; Anti-corruption '!AL18</f>
        <v>2000000</v>
      </c>
      <c r="G175" s="369">
        <f>'Transparence &amp; Anti-corruption '!AM18</f>
        <v>0</v>
      </c>
      <c r="H175" s="369">
        <f>'Transparence &amp; Anti-corruption '!AN18</f>
        <v>0</v>
      </c>
      <c r="I175" s="369">
        <f>'Transparence &amp; Anti-corruption '!AO18</f>
        <v>0</v>
      </c>
      <c r="J175" s="369">
        <f>'Transparence &amp; Anti-corruption '!AP18</f>
        <v>0</v>
      </c>
      <c r="K175" s="369">
        <f>'Transparence &amp; Anti-corruption '!AQ18</f>
        <v>0</v>
      </c>
      <c r="L175" s="369">
        <f>'Transparence &amp; Anti-corruption '!AR18</f>
        <v>2000000</v>
      </c>
    </row>
    <row r="176" spans="1:20" ht="43.5" customHeight="1" x14ac:dyDescent="0.2">
      <c r="A176" s="855">
        <v>10.199999999999999</v>
      </c>
      <c r="B176" s="856" t="s">
        <v>717</v>
      </c>
      <c r="C176" s="401" t="s">
        <v>167</v>
      </c>
      <c r="D176" s="813" t="s">
        <v>634</v>
      </c>
      <c r="E176" s="815" t="s">
        <v>694</v>
      </c>
      <c r="F176" s="369">
        <f>'Transparence &amp; Anti-corruption '!AL19</f>
        <v>0</v>
      </c>
      <c r="G176" s="369">
        <f>'Transparence &amp; Anti-corruption '!AM19</f>
        <v>0</v>
      </c>
      <c r="H176" s="369">
        <f>'Transparence &amp; Anti-corruption '!AN19</f>
        <v>0</v>
      </c>
      <c r="I176" s="369">
        <f>'Transparence &amp; Anti-corruption '!AO19</f>
        <v>0</v>
      </c>
      <c r="J176" s="369">
        <f>'Transparence &amp; Anti-corruption '!AP19</f>
        <v>0</v>
      </c>
      <c r="K176" s="369">
        <f>'Transparence &amp; Anti-corruption '!AQ19</f>
        <v>0</v>
      </c>
      <c r="L176" s="369">
        <f>'Transparence &amp; Anti-corruption '!AR19</f>
        <v>0</v>
      </c>
    </row>
    <row r="177" spans="1:19" ht="78" customHeight="1" x14ac:dyDescent="0.2">
      <c r="A177" s="855"/>
      <c r="B177" s="856"/>
      <c r="C177" s="401" t="s">
        <v>168</v>
      </c>
      <c r="D177" s="813" t="s">
        <v>634</v>
      </c>
      <c r="E177" s="813" t="s">
        <v>649</v>
      </c>
      <c r="F177" s="369">
        <f>'Transparence &amp; Anti-corruption '!AL19</f>
        <v>0</v>
      </c>
      <c r="G177" s="369">
        <f>'Transparence &amp; Anti-corruption '!AM19</f>
        <v>0</v>
      </c>
      <c r="H177" s="369">
        <f>'Transparence &amp; Anti-corruption '!AN19</f>
        <v>0</v>
      </c>
      <c r="I177" s="369">
        <f>'Transparence &amp; Anti-corruption '!AO19</f>
        <v>0</v>
      </c>
      <c r="J177" s="369">
        <f>'Transparence &amp; Anti-corruption '!AP19</f>
        <v>0</v>
      </c>
      <c r="K177" s="369">
        <f>'Transparence &amp; Anti-corruption '!AQ19</f>
        <v>0</v>
      </c>
      <c r="L177" s="369">
        <f>'Transparence &amp; Anti-corruption '!AR19</f>
        <v>0</v>
      </c>
    </row>
    <row r="178" spans="1:19" ht="15.75" customHeight="1" x14ac:dyDescent="0.2">
      <c r="A178" s="378"/>
      <c r="B178" s="860" t="s">
        <v>572</v>
      </c>
      <c r="C178" s="861"/>
      <c r="D178" s="862"/>
      <c r="E178" s="558"/>
      <c r="F178" s="379">
        <f t="shared" ref="F178:L178" si="18">SUM(F174:F177)</f>
        <v>2700000</v>
      </c>
      <c r="G178" s="379">
        <f t="shared" si="18"/>
        <v>0</v>
      </c>
      <c r="H178" s="379">
        <f t="shared" si="18"/>
        <v>700000</v>
      </c>
      <c r="I178" s="379">
        <f t="shared" si="18"/>
        <v>0</v>
      </c>
      <c r="J178" s="379">
        <f t="shared" si="18"/>
        <v>0</v>
      </c>
      <c r="K178" s="379">
        <f t="shared" si="18"/>
        <v>0</v>
      </c>
      <c r="L178" s="379">
        <f t="shared" si="18"/>
        <v>2000000</v>
      </c>
      <c r="M178" s="482">
        <f>'Transparence &amp; Anti-corruption '!AL20</f>
        <v>2700000</v>
      </c>
      <c r="N178" s="482">
        <f>'Transparence &amp; Anti-corruption '!AM20</f>
        <v>0</v>
      </c>
      <c r="O178" s="482">
        <f>'Transparence &amp; Anti-corruption '!AN20</f>
        <v>700000</v>
      </c>
      <c r="P178" s="482">
        <f>'Transparence &amp; Anti-corruption '!AO20</f>
        <v>0</v>
      </c>
      <c r="Q178" s="482">
        <f>'Transparence &amp; Anti-corruption '!AP20</f>
        <v>0</v>
      </c>
      <c r="R178" s="482">
        <f>'Transparence &amp; Anti-corruption '!AQ20</f>
        <v>0</v>
      </c>
      <c r="S178" s="482">
        <f>'Transparence &amp; Anti-corruption '!AR20</f>
        <v>2000000</v>
      </c>
    </row>
    <row r="179" spans="1:19" ht="28.5" customHeight="1" x14ac:dyDescent="0.2">
      <c r="A179" s="383">
        <v>11</v>
      </c>
      <c r="B179" s="849" t="s">
        <v>633</v>
      </c>
      <c r="C179" s="850"/>
      <c r="D179" s="850"/>
      <c r="E179" s="850"/>
      <c r="F179" s="850"/>
      <c r="G179" s="850"/>
      <c r="H179" s="850"/>
      <c r="I179" s="850"/>
      <c r="J179" s="850"/>
      <c r="K179" s="850"/>
      <c r="L179" s="851"/>
      <c r="M179" s="481">
        <f>F178-M178</f>
        <v>0</v>
      </c>
      <c r="N179" s="481">
        <f t="shared" ref="N179:S179" si="19">G178-N178</f>
        <v>0</v>
      </c>
      <c r="O179" s="481">
        <f t="shared" si="19"/>
        <v>0</v>
      </c>
      <c r="P179" s="481">
        <f t="shared" si="19"/>
        <v>0</v>
      </c>
      <c r="Q179" s="481">
        <f t="shared" si="19"/>
        <v>0</v>
      </c>
      <c r="R179" s="481">
        <f t="shared" si="19"/>
        <v>0</v>
      </c>
      <c r="S179" s="481">
        <f t="shared" si="19"/>
        <v>0</v>
      </c>
    </row>
    <row r="180" spans="1:19" ht="55.5" customHeight="1" x14ac:dyDescent="0.2">
      <c r="A180" s="402">
        <v>11.1</v>
      </c>
      <c r="B180" s="774" t="s">
        <v>549</v>
      </c>
      <c r="C180" s="401">
        <v>11.1</v>
      </c>
      <c r="D180" s="401"/>
      <c r="E180" s="553"/>
      <c r="F180" s="369"/>
      <c r="G180" s="377"/>
      <c r="H180" s="377"/>
      <c r="I180" s="377"/>
      <c r="J180" s="377"/>
      <c r="K180" s="377"/>
      <c r="L180" s="377">
        <f>F180-G180-H180-K180</f>
        <v>0</v>
      </c>
    </row>
    <row r="181" spans="1:19" ht="53.25" customHeight="1" x14ac:dyDescent="0.2">
      <c r="A181" s="402">
        <v>11.2</v>
      </c>
      <c r="B181" s="774" t="s">
        <v>550</v>
      </c>
      <c r="C181" s="401">
        <v>11.2</v>
      </c>
      <c r="D181" s="401"/>
      <c r="E181" s="553"/>
      <c r="F181" s="369"/>
      <c r="G181" s="377"/>
      <c r="H181" s="377"/>
      <c r="I181" s="377"/>
      <c r="J181" s="377"/>
      <c r="K181" s="377"/>
      <c r="L181" s="377">
        <f>F181-G181-H181-K181</f>
        <v>0</v>
      </c>
    </row>
    <row r="182" spans="1:19" ht="68.25" customHeight="1" x14ac:dyDescent="0.2">
      <c r="A182" s="552">
        <v>11.3</v>
      </c>
      <c r="B182" s="553" t="str">
        <f>'Transparence &amp; Anti-corruption '!C24</f>
        <v>Élaboration d'un mécanisme d'évaluationpour contrôler la mise en application cohérente et homogène des normes dans l'administration publique.</v>
      </c>
      <c r="C182" s="401" t="s">
        <v>194</v>
      </c>
      <c r="D182" s="401" t="str">
        <f>'Transparence &amp; Anti-corruption '!E24</f>
        <v>Développement d'un programme de contrôle de l'application des normes (IAP A.2.1)</v>
      </c>
      <c r="E182" s="553"/>
      <c r="F182" s="369">
        <f>'Transparence &amp; Anti-corruption '!AL24</f>
        <v>600000</v>
      </c>
      <c r="G182" s="369">
        <f>'Transparence &amp; Anti-corruption '!AM24</f>
        <v>0</v>
      </c>
      <c r="H182" s="369">
        <f>'Transparence &amp; Anti-corruption '!AN24</f>
        <v>600000</v>
      </c>
      <c r="I182" s="369">
        <f>'Transparence &amp; Anti-corruption '!AO24</f>
        <v>0</v>
      </c>
      <c r="J182" s="369">
        <f>'Transparence &amp; Anti-corruption '!AP24</f>
        <v>0</v>
      </c>
      <c r="K182" s="369">
        <f>'Transparence &amp; Anti-corruption '!AQ24</f>
        <v>0</v>
      </c>
      <c r="L182" s="369">
        <f>'Transparence &amp; Anti-corruption '!AR24</f>
        <v>0</v>
      </c>
    </row>
    <row r="183" spans="1:19" ht="15.75" customHeight="1" x14ac:dyDescent="0.2">
      <c r="A183" s="378"/>
      <c r="B183" s="846" t="s">
        <v>573</v>
      </c>
      <c r="C183" s="847"/>
      <c r="D183" s="848"/>
      <c r="E183" s="561"/>
      <c r="F183" s="379">
        <f t="shared" ref="F183:L183" si="20">SUM(F180:F182)</f>
        <v>600000</v>
      </c>
      <c r="G183" s="379">
        <f t="shared" si="20"/>
        <v>0</v>
      </c>
      <c r="H183" s="379">
        <f t="shared" si="20"/>
        <v>600000</v>
      </c>
      <c r="I183" s="379">
        <f t="shared" si="20"/>
        <v>0</v>
      </c>
      <c r="J183" s="379">
        <f t="shared" si="20"/>
        <v>0</v>
      </c>
      <c r="K183" s="379">
        <f t="shared" si="20"/>
        <v>0</v>
      </c>
      <c r="L183" s="379">
        <f t="shared" si="20"/>
        <v>0</v>
      </c>
      <c r="M183" s="482">
        <f>'Transparence &amp; Anti-corruption '!AL25</f>
        <v>600000</v>
      </c>
      <c r="N183" s="482">
        <f>'Transparence &amp; Anti-corruption '!AM25</f>
        <v>0</v>
      </c>
      <c r="O183" s="482">
        <f>'Transparence &amp; Anti-corruption '!AN25</f>
        <v>600000</v>
      </c>
      <c r="P183" s="482">
        <f>'Transparence &amp; Anti-corruption '!AO25</f>
        <v>0</v>
      </c>
      <c r="Q183" s="482">
        <f>'Transparence &amp; Anti-corruption '!AP25</f>
        <v>0</v>
      </c>
      <c r="R183" s="482">
        <f>'Transparence &amp; Anti-corruption '!AQ25</f>
        <v>0</v>
      </c>
      <c r="S183" s="482">
        <f>'Transparence &amp; Anti-corruption '!AR25</f>
        <v>0</v>
      </c>
    </row>
    <row r="184" spans="1:19" s="155" customFormat="1" ht="15.75" customHeight="1" x14ac:dyDescent="0.2">
      <c r="A184" s="385"/>
      <c r="B184" s="843" t="s">
        <v>1</v>
      </c>
      <c r="C184" s="844"/>
      <c r="D184" s="845"/>
      <c r="E184" s="560"/>
      <c r="F184" s="386">
        <f t="shared" ref="F184:L184" si="21">F41+F63+F84+F96+F103+F145+F151+F165+F172+F178+F183</f>
        <v>79644514.400000006</v>
      </c>
      <c r="G184" s="386">
        <f t="shared" si="21"/>
        <v>18818158.4012</v>
      </c>
      <c r="H184" s="386">
        <f t="shared" si="21"/>
        <v>5394266.25</v>
      </c>
      <c r="I184" s="386">
        <f t="shared" si="21"/>
        <v>315000</v>
      </c>
      <c r="J184" s="386">
        <f t="shared" si="21"/>
        <v>18053278</v>
      </c>
      <c r="K184" s="386">
        <f t="shared" si="21"/>
        <v>916078</v>
      </c>
      <c r="L184" s="386">
        <f t="shared" si="21"/>
        <v>36147733.748799995</v>
      </c>
      <c r="M184" s="488">
        <f t="shared" ref="M184:S184" si="22">F183-M183</f>
        <v>0</v>
      </c>
      <c r="N184" s="488">
        <f t="shared" si="22"/>
        <v>0</v>
      </c>
      <c r="O184" s="488">
        <f t="shared" si="22"/>
        <v>0</v>
      </c>
      <c r="P184" s="488">
        <f t="shared" si="22"/>
        <v>0</v>
      </c>
      <c r="Q184" s="488">
        <f t="shared" si="22"/>
        <v>0</v>
      </c>
      <c r="R184" s="488">
        <f t="shared" si="22"/>
        <v>0</v>
      </c>
      <c r="S184" s="488">
        <f t="shared" si="22"/>
        <v>0</v>
      </c>
    </row>
    <row r="185" spans="1:19" ht="15.75" customHeight="1" x14ac:dyDescent="0.2">
      <c r="A185" s="388"/>
      <c r="B185" s="389"/>
      <c r="C185" s="390"/>
      <c r="D185" s="416"/>
      <c r="E185" s="416"/>
      <c r="F185" s="391"/>
      <c r="G185" s="392"/>
      <c r="H185" s="392"/>
      <c r="I185" s="392"/>
      <c r="J185" s="392"/>
      <c r="K185" s="392"/>
      <c r="L185" s="393"/>
    </row>
    <row r="186" spans="1:19" ht="15.75" customHeight="1" x14ac:dyDescent="0.2">
      <c r="A186" s="388"/>
      <c r="B186" s="389"/>
      <c r="C186" s="390"/>
      <c r="D186" s="416"/>
      <c r="E186" s="416"/>
      <c r="F186" s="391"/>
      <c r="G186" s="366"/>
      <c r="H186" s="366"/>
      <c r="I186" s="366"/>
      <c r="J186" s="366"/>
      <c r="K186" s="366"/>
      <c r="L186" s="367"/>
    </row>
    <row r="187" spans="1:19" ht="15.75" customHeight="1" x14ac:dyDescent="0.2">
      <c r="A187" s="388"/>
      <c r="B187" s="389"/>
      <c r="C187" s="390"/>
      <c r="D187" s="417" t="s">
        <v>601</v>
      </c>
      <c r="E187" s="394">
        <f>'Fonction publique et GRH'!AL44</f>
        <v>5819425</v>
      </c>
      <c r="F187" s="394">
        <f>'Fonction publique et GRH'!AM44</f>
        <v>405000</v>
      </c>
      <c r="G187" s="394">
        <f>'Fonction publique et GRH'!AN44</f>
        <v>1200000</v>
      </c>
      <c r="H187" s="394">
        <f>'Fonction publique et GRH'!AO44</f>
        <v>50000</v>
      </c>
      <c r="I187" s="394">
        <f>'Fonction publique et GRH'!AP44</f>
        <v>348000</v>
      </c>
      <c r="J187" s="394">
        <f>'Fonction publique et GRH'!AQ44</f>
        <v>0</v>
      </c>
      <c r="K187" s="394">
        <f>'Fonction publique et GRH'!AR44</f>
        <v>3816425</v>
      </c>
      <c r="L187" s="45"/>
    </row>
    <row r="188" spans="1:19" ht="15.75" customHeight="1" x14ac:dyDescent="0.2">
      <c r="A188" s="388"/>
      <c r="B188" s="389"/>
      <c r="C188" s="390"/>
      <c r="D188" s="417" t="s">
        <v>602</v>
      </c>
      <c r="E188" s="394">
        <f>EAAP!AU45</f>
        <v>989131</v>
      </c>
      <c r="F188" s="394">
        <f>EAAP!AV45</f>
        <v>317106.51500000001</v>
      </c>
      <c r="G188" s="394">
        <f>EAAP!AW45</f>
        <v>672024.25</v>
      </c>
      <c r="H188" s="394">
        <f>EAAP!AX45</f>
        <v>0</v>
      </c>
      <c r="I188" s="394">
        <f>EAAP!AY45</f>
        <v>0</v>
      </c>
      <c r="J188" s="394">
        <f>EAAP!AZ45</f>
        <v>0</v>
      </c>
      <c r="K188" s="394">
        <f>EAAP!BA45</f>
        <v>0.2349999999796637</v>
      </c>
      <c r="L188" s="45"/>
    </row>
    <row r="189" spans="1:19" ht="15.75" customHeight="1" x14ac:dyDescent="0.2">
      <c r="A189" s="388"/>
      <c r="B189" s="389"/>
      <c r="C189" s="390"/>
      <c r="D189" s="417" t="s">
        <v>603</v>
      </c>
      <c r="E189" s="394">
        <f>'Politiques&amp;Suivi&amp;Législation'!AN88</f>
        <v>10852580.4</v>
      </c>
      <c r="F189" s="394">
        <f>'Politiques&amp;Suivi&amp;Législation'!AO88</f>
        <v>96145.400000000009</v>
      </c>
      <c r="G189" s="394">
        <f>'Politiques&amp;Suivi&amp;Législation'!AP88</f>
        <v>450000</v>
      </c>
      <c r="H189" s="394">
        <f>'Politiques&amp;Suivi&amp;Législation'!AQ88</f>
        <v>0</v>
      </c>
      <c r="I189" s="394">
        <f>'Politiques&amp;Suivi&amp;Législation'!AR88</f>
        <v>372900</v>
      </c>
      <c r="J189" s="394">
        <f>'Politiques&amp;Suivi&amp;Législation'!AS88</f>
        <v>0</v>
      </c>
      <c r="K189" s="394">
        <f>'Politiques&amp;Suivi&amp;Législation'!AT88</f>
        <v>9933535</v>
      </c>
      <c r="L189" s="45"/>
    </row>
    <row r="190" spans="1:19" ht="15.75" customHeight="1" x14ac:dyDescent="0.2">
      <c r="A190" s="388"/>
      <c r="B190" s="389"/>
      <c r="C190" s="390"/>
      <c r="D190" s="417" t="s">
        <v>199</v>
      </c>
      <c r="E190" s="394">
        <f>Innovation!AM36</f>
        <v>50483328</v>
      </c>
      <c r="F190" s="394">
        <f>Innovation!AN36</f>
        <v>13699906.486199999</v>
      </c>
      <c r="G190" s="394">
        <f>Innovation!AO36</f>
        <v>1272242</v>
      </c>
      <c r="H190" s="394">
        <f>Innovation!AP36</f>
        <v>0</v>
      </c>
      <c r="I190" s="394">
        <f>Innovation!AQ36</f>
        <v>17332378</v>
      </c>
      <c r="J190" s="394">
        <f>Innovation!AR36</f>
        <v>916078</v>
      </c>
      <c r="K190" s="394">
        <f>Innovation!AS36</f>
        <v>17262723.513799999</v>
      </c>
      <c r="L190" s="45"/>
    </row>
    <row r="191" spans="1:19" ht="15.75" customHeight="1" x14ac:dyDescent="0.2">
      <c r="A191" s="388"/>
      <c r="B191" s="389"/>
      <c r="C191" s="390"/>
      <c r="D191" s="417" t="s">
        <v>604</v>
      </c>
      <c r="E191" s="394">
        <f>'Décentralisation '!AL16</f>
        <v>8127900</v>
      </c>
      <c r="F191" s="394">
        <f>'Décentralisation '!AM16</f>
        <v>4300000</v>
      </c>
      <c r="G191" s="394">
        <f>'Décentralisation '!AN16</f>
        <v>500000</v>
      </c>
      <c r="H191" s="394">
        <f>'Décentralisation '!AO16</f>
        <v>265000</v>
      </c>
      <c r="I191" s="394">
        <f>'Décentralisation '!AP16</f>
        <v>0</v>
      </c>
      <c r="J191" s="394">
        <f>'Décentralisation '!AQ16</f>
        <v>0</v>
      </c>
      <c r="K191" s="394">
        <f>'Décentralisation '!AR16</f>
        <v>3062900</v>
      </c>
      <c r="L191" s="45"/>
    </row>
    <row r="192" spans="1:19" ht="15.75" customHeight="1" x14ac:dyDescent="0.2">
      <c r="A192" s="388"/>
      <c r="B192" s="389"/>
      <c r="C192" s="390"/>
      <c r="D192" s="417" t="s">
        <v>605</v>
      </c>
      <c r="E192" s="394">
        <f>'Transparence &amp; Anti-corruption '!AL26</f>
        <v>3372150</v>
      </c>
      <c r="F192" s="394">
        <f>'Transparence &amp; Anti-corruption '!AM26</f>
        <v>0</v>
      </c>
      <c r="G192" s="394">
        <f>'Transparence &amp; Anti-corruption '!AN26</f>
        <v>1300000</v>
      </c>
      <c r="H192" s="394">
        <f>'Transparence &amp; Anti-corruption '!AO26</f>
        <v>0</v>
      </c>
      <c r="I192" s="394">
        <f>'Transparence &amp; Anti-corruption '!AP26</f>
        <v>0</v>
      </c>
      <c r="J192" s="394">
        <f>'Transparence &amp; Anti-corruption '!AQ26</f>
        <v>0</v>
      </c>
      <c r="K192" s="394">
        <f>'Transparence &amp; Anti-corruption '!AR26</f>
        <v>2072150</v>
      </c>
      <c r="L192" s="45"/>
    </row>
    <row r="193" spans="1:12" ht="15.75" customHeight="1" x14ac:dyDescent="0.2">
      <c r="A193" s="388"/>
      <c r="B193" s="389"/>
      <c r="C193" s="390"/>
      <c r="D193" s="417" t="s">
        <v>0</v>
      </c>
      <c r="E193" s="387">
        <f t="shared" ref="E193:K193" si="23">SUM(E187:E192)</f>
        <v>79644514.400000006</v>
      </c>
      <c r="F193" s="387">
        <f t="shared" si="23"/>
        <v>18818158.4012</v>
      </c>
      <c r="G193" s="387">
        <f t="shared" si="23"/>
        <v>5394266.25</v>
      </c>
      <c r="H193" s="387">
        <f t="shared" si="23"/>
        <v>315000</v>
      </c>
      <c r="I193" s="387">
        <f t="shared" si="23"/>
        <v>18053278</v>
      </c>
      <c r="J193" s="387">
        <f t="shared" si="23"/>
        <v>916078</v>
      </c>
      <c r="K193" s="387">
        <f t="shared" si="23"/>
        <v>36147733.748799995</v>
      </c>
      <c r="L193" s="45"/>
    </row>
    <row r="194" spans="1:12" ht="15.75" customHeight="1" x14ac:dyDescent="0.2">
      <c r="A194" s="388"/>
      <c r="B194" s="389"/>
      <c r="C194" s="390"/>
      <c r="D194" s="416" t="s">
        <v>606</v>
      </c>
      <c r="E194" s="395">
        <f t="shared" ref="E194:K194" si="24">F184-E193</f>
        <v>0</v>
      </c>
      <c r="F194" s="395">
        <f t="shared" si="24"/>
        <v>0</v>
      </c>
      <c r="G194" s="395">
        <f t="shared" si="24"/>
        <v>0</v>
      </c>
      <c r="H194" s="395">
        <f t="shared" si="24"/>
        <v>0</v>
      </c>
      <c r="I194" s="395">
        <f t="shared" si="24"/>
        <v>0</v>
      </c>
      <c r="J194" s="395">
        <f t="shared" si="24"/>
        <v>0</v>
      </c>
      <c r="K194" s="395">
        <f t="shared" si="24"/>
        <v>0</v>
      </c>
      <c r="L194" s="45"/>
    </row>
    <row r="195" spans="1:12" ht="15.75" customHeight="1" x14ac:dyDescent="0.2">
      <c r="A195" s="388"/>
      <c r="B195" s="389"/>
      <c r="C195" s="390"/>
      <c r="D195" s="416"/>
      <c r="E195" s="416"/>
      <c r="F195" s="391"/>
      <c r="G195" s="366"/>
      <c r="H195" s="366"/>
      <c r="I195" s="366"/>
      <c r="J195" s="366"/>
      <c r="K195" s="366"/>
      <c r="L195" s="367"/>
    </row>
    <row r="196" spans="1:12" ht="15.75" customHeight="1" x14ac:dyDescent="0.2">
      <c r="A196" s="388"/>
      <c r="B196" s="389"/>
      <c r="C196" s="390"/>
      <c r="D196" s="416"/>
      <c r="E196" s="416"/>
      <c r="F196" s="391"/>
      <c r="G196" s="366"/>
      <c r="H196" s="366"/>
      <c r="I196" s="366"/>
      <c r="J196" s="366"/>
      <c r="K196" s="366"/>
      <c r="L196" s="367"/>
    </row>
    <row r="197" spans="1:12" ht="15.75" customHeight="1" x14ac:dyDescent="0.2">
      <c r="A197" s="388"/>
      <c r="B197" s="389"/>
      <c r="C197" s="390"/>
      <c r="D197" s="416"/>
      <c r="E197" s="416"/>
      <c r="F197" s="394" t="s">
        <v>0</v>
      </c>
      <c r="G197" s="396">
        <f>F184</f>
        <v>79644514.400000006</v>
      </c>
      <c r="H197" s="396"/>
      <c r="I197" s="366"/>
      <c r="J197" s="366"/>
      <c r="K197" s="366"/>
      <c r="L197" s="367"/>
    </row>
    <row r="198" spans="1:12" ht="15.75" customHeight="1" x14ac:dyDescent="0.2">
      <c r="A198" s="388"/>
      <c r="B198" s="389"/>
      <c r="C198" s="390"/>
      <c r="D198" s="416"/>
      <c r="E198" s="416"/>
      <c r="F198" s="394" t="s">
        <v>607</v>
      </c>
      <c r="G198" s="396">
        <f>G184</f>
        <v>18818158.4012</v>
      </c>
      <c r="H198" s="397">
        <f>G198/$G$197</f>
        <v>0.23627689292810855</v>
      </c>
      <c r="I198" s="366"/>
      <c r="J198" s="366"/>
      <c r="K198" s="366"/>
      <c r="L198" s="367"/>
    </row>
    <row r="199" spans="1:12" ht="15.75" customHeight="1" x14ac:dyDescent="0.2">
      <c r="A199" s="388"/>
      <c r="B199" s="389"/>
      <c r="C199" s="390"/>
      <c r="D199" s="416"/>
      <c r="E199" s="416"/>
      <c r="F199" s="394" t="s">
        <v>608</v>
      </c>
      <c r="G199" s="396">
        <f>H184+I184+J184+K184+Innovation!AU38</f>
        <v>36377423.363799997</v>
      </c>
      <c r="H199" s="397">
        <f>G199/$G$197</f>
        <v>0.45674738100732265</v>
      </c>
      <c r="I199" s="366"/>
      <c r="J199" s="366"/>
      <c r="K199" s="366"/>
      <c r="L199" s="367"/>
    </row>
    <row r="200" spans="1:12" ht="15.75" customHeight="1" x14ac:dyDescent="0.2">
      <c r="A200" s="388"/>
      <c r="B200" s="389"/>
      <c r="C200" s="390"/>
      <c r="D200" s="416"/>
      <c r="E200" s="416"/>
      <c r="F200" s="394" t="s">
        <v>260</v>
      </c>
      <c r="G200" s="396">
        <f>L184-Innovation!AU38</f>
        <v>24448932.634999998</v>
      </c>
      <c r="H200" s="397">
        <f>G200/$G$197</f>
        <v>0.30697572606456869</v>
      </c>
      <c r="I200" s="366"/>
      <c r="J200" s="366"/>
      <c r="K200" s="366"/>
      <c r="L200" s="367"/>
    </row>
    <row r="201" spans="1:12" ht="15.75" customHeight="1" x14ac:dyDescent="0.2">
      <c r="A201" s="388"/>
      <c r="B201" s="389"/>
      <c r="C201" s="390"/>
      <c r="D201" s="416"/>
      <c r="F201" s="394"/>
      <c r="G201" s="396"/>
      <c r="H201" s="397"/>
      <c r="I201" s="366"/>
      <c r="J201" s="366"/>
      <c r="K201" s="366"/>
      <c r="L201" s="367"/>
    </row>
  </sheetData>
  <mergeCells count="113">
    <mergeCell ref="A98:A100"/>
    <mergeCell ref="B103:D103"/>
    <mergeCell ref="B49:B50"/>
    <mergeCell ref="A49:A50"/>
    <mergeCell ref="B92:B95"/>
    <mergeCell ref="B84:D84"/>
    <mergeCell ref="B85:D85"/>
    <mergeCell ref="B98:B100"/>
    <mergeCell ref="A86:A89"/>
    <mergeCell ref="B86:B89"/>
    <mergeCell ref="A90:A91"/>
    <mergeCell ref="B90:B91"/>
    <mergeCell ref="A92:A95"/>
    <mergeCell ref="B97:L97"/>
    <mergeCell ref="B96:D96"/>
    <mergeCell ref="A75:A78"/>
    <mergeCell ref="A80:A83"/>
    <mergeCell ref="B80:B83"/>
    <mergeCell ref="A51:A54"/>
    <mergeCell ref="B51:B54"/>
    <mergeCell ref="B63:D63"/>
    <mergeCell ref="A65:A70"/>
    <mergeCell ref="B75:B79"/>
    <mergeCell ref="B2:F2"/>
    <mergeCell ref="F3:F7"/>
    <mergeCell ref="A24:A26"/>
    <mergeCell ref="B24:B26"/>
    <mergeCell ref="A10:A19"/>
    <mergeCell ref="D22:D23"/>
    <mergeCell ref="C22:C23"/>
    <mergeCell ref="B45:B48"/>
    <mergeCell ref="B41:D41"/>
    <mergeCell ref="B37:B40"/>
    <mergeCell ref="A37:A40"/>
    <mergeCell ref="A45:A48"/>
    <mergeCell ref="A43:A44"/>
    <mergeCell ref="B43:B44"/>
    <mergeCell ref="B42:L42"/>
    <mergeCell ref="G3:L5"/>
    <mergeCell ref="A27:A29"/>
    <mergeCell ref="B27:B29"/>
    <mergeCell ref="A30:A31"/>
    <mergeCell ref="B30:B31"/>
    <mergeCell ref="B10:B19"/>
    <mergeCell ref="B9:L9"/>
    <mergeCell ref="G6:G7"/>
    <mergeCell ref="A35:A36"/>
    <mergeCell ref="B110:B111"/>
    <mergeCell ref="A112:A115"/>
    <mergeCell ref="B151:D151"/>
    <mergeCell ref="A122:A125"/>
    <mergeCell ref="B35:B36"/>
    <mergeCell ref="A32:A33"/>
    <mergeCell ref="B32:B33"/>
    <mergeCell ref="L6:L7"/>
    <mergeCell ref="A3:A7"/>
    <mergeCell ref="B3:B7"/>
    <mergeCell ref="C3:D7"/>
    <mergeCell ref="E3:E7"/>
    <mergeCell ref="E32:E33"/>
    <mergeCell ref="B65:B70"/>
    <mergeCell ref="A71:A74"/>
    <mergeCell ref="B71:B74"/>
    <mergeCell ref="A55:A57"/>
    <mergeCell ref="B55:B57"/>
    <mergeCell ref="A58:A60"/>
    <mergeCell ref="B58:B60"/>
    <mergeCell ref="B64:L64"/>
    <mergeCell ref="B61:B62"/>
    <mergeCell ref="A61:A62"/>
    <mergeCell ref="A116:A117"/>
    <mergeCell ref="B146:L146"/>
    <mergeCell ref="B163:B164"/>
    <mergeCell ref="B165:D165"/>
    <mergeCell ref="B172:D172"/>
    <mergeCell ref="A153:A154"/>
    <mergeCell ref="B153:B154"/>
    <mergeCell ref="A168:A170"/>
    <mergeCell ref="B152:L152"/>
    <mergeCell ref="B104:L104"/>
    <mergeCell ref="B127:B135"/>
    <mergeCell ref="B136:B144"/>
    <mergeCell ref="A118:A119"/>
    <mergeCell ref="B118:B119"/>
    <mergeCell ref="B116:B117"/>
    <mergeCell ref="A120:A121"/>
    <mergeCell ref="B120:B121"/>
    <mergeCell ref="A136:A144"/>
    <mergeCell ref="A127:A135"/>
    <mergeCell ref="A106:A108"/>
    <mergeCell ref="B106:B108"/>
    <mergeCell ref="B122:B126"/>
    <mergeCell ref="B145:D145"/>
    <mergeCell ref="B112:B115"/>
    <mergeCell ref="A110:A111"/>
    <mergeCell ref="B184:D184"/>
    <mergeCell ref="B183:D183"/>
    <mergeCell ref="B179:L179"/>
    <mergeCell ref="B173:L173"/>
    <mergeCell ref="A147:A148"/>
    <mergeCell ref="B147:B148"/>
    <mergeCell ref="B166:L166"/>
    <mergeCell ref="B178:D178"/>
    <mergeCell ref="B168:B170"/>
    <mergeCell ref="A160:A162"/>
    <mergeCell ref="B160:B162"/>
    <mergeCell ref="A163:A164"/>
    <mergeCell ref="A157:A158"/>
    <mergeCell ref="B157:B158"/>
    <mergeCell ref="A176:A177"/>
    <mergeCell ref="B176:B177"/>
    <mergeCell ref="A174:A175"/>
    <mergeCell ref="B174:B175"/>
  </mergeCells>
  <phoneticPr fontId="9" type="noConversion"/>
  <printOptions horizontalCentered="1" verticalCentered="1"/>
  <pageMargins left="0.7" right="0.7" top="0.75" bottom="0.75" header="0.3" footer="0.3"/>
  <pageSetup paperSize="9" scale="65" fitToHeight="0" orientation="landscape"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7"/>
  <sheetViews>
    <sheetView workbookViewId="0">
      <selection activeCell="E42" sqref="E42"/>
    </sheetView>
  </sheetViews>
  <sheetFormatPr defaultColWidth="9.140625" defaultRowHeight="12.75" x14ac:dyDescent="0.25"/>
  <cols>
    <col min="1" max="1" width="6.28515625" style="312" customWidth="1"/>
    <col min="2" max="2" width="4.42578125" style="312" customWidth="1"/>
    <col min="3" max="3" width="21.140625" style="812" customWidth="1"/>
    <col min="4" max="4" width="5.28515625" style="314" customWidth="1"/>
    <col min="5" max="5" width="20.7109375" style="604" customWidth="1"/>
    <col min="6" max="6" width="14.85546875" style="315" customWidth="1"/>
    <col min="7" max="7" width="5.85546875" style="316" customWidth="1"/>
    <col min="8" max="8" width="7.7109375" style="317" customWidth="1"/>
    <col min="9" max="9" width="7.28515625" style="317" customWidth="1"/>
    <col min="10" max="10" width="9.7109375" style="316" customWidth="1"/>
    <col min="11" max="11" width="10" style="318" customWidth="1"/>
    <col min="12" max="12" width="9.42578125" style="318" customWidth="1"/>
    <col min="13" max="13" width="10.85546875" style="318" customWidth="1"/>
    <col min="14" max="14" width="11.85546875" style="318" customWidth="1"/>
    <col min="15" max="15" width="12.140625" style="318" customWidth="1"/>
    <col min="16" max="16" width="12.85546875" style="318" customWidth="1"/>
    <col min="17" max="18" width="11.42578125" style="318" customWidth="1"/>
    <col min="19" max="19" width="10.7109375" style="319" customWidth="1"/>
    <col min="20" max="20" width="9.28515625" style="320" customWidth="1"/>
    <col min="21" max="21" width="7.42578125" style="320" customWidth="1"/>
    <col min="22" max="22" width="9.7109375" style="319" customWidth="1"/>
    <col min="23" max="23" width="8.28515625" style="321" customWidth="1"/>
    <col min="24" max="24" width="6.85546875" style="321" customWidth="1"/>
    <col min="25" max="25" width="10.28515625" style="321" customWidth="1"/>
    <col min="26" max="26" width="11.28515625" style="322" customWidth="1"/>
    <col min="27" max="27" width="10.28515625" style="322" customWidth="1"/>
    <col min="28" max="28" width="8.28515625" style="322" customWidth="1"/>
    <col min="29" max="29" width="15.28515625" style="322" customWidth="1"/>
    <col min="30" max="30" width="12.42578125" style="322" customWidth="1"/>
    <col min="31" max="31" width="7.28515625" style="322" customWidth="1"/>
    <col min="32" max="32" width="13.140625" style="322" customWidth="1"/>
    <col min="33" max="33" width="9.28515625" style="322" customWidth="1"/>
    <col min="34" max="34" width="6.85546875" style="322" customWidth="1"/>
    <col min="35" max="35" width="11" style="322" customWidth="1"/>
    <col min="36" max="36" width="10.7109375" style="322" customWidth="1"/>
    <col min="37" max="37" width="13.42578125" style="323" customWidth="1"/>
    <col min="38" max="38" width="10.42578125" style="321" customWidth="1"/>
    <col min="39" max="39" width="12.42578125" style="411" customWidth="1"/>
    <col min="40" max="41" width="10.140625" style="322" customWidth="1"/>
    <col min="42" max="43" width="9" style="322" customWidth="1"/>
    <col min="44" max="44" width="12.28515625" style="324" customWidth="1"/>
    <col min="45" max="45" width="9.85546875" style="298" bestFit="1" customWidth="1"/>
    <col min="46" max="46" width="11.85546875" style="299" customWidth="1"/>
    <col min="47" max="16384" width="9.140625" style="299"/>
  </cols>
  <sheetData>
    <row r="1" spans="1:45" s="231" customFormat="1" x14ac:dyDescent="0.25">
      <c r="A1" s="218"/>
      <c r="B1" s="218"/>
      <c r="C1" s="809"/>
      <c r="D1" s="220"/>
      <c r="E1" s="598"/>
      <c r="F1" s="221"/>
      <c r="G1" s="222"/>
      <c r="H1" s="223"/>
      <c r="I1" s="223"/>
      <c r="J1" s="222"/>
      <c r="K1" s="224"/>
      <c r="L1" s="224"/>
      <c r="M1" s="224"/>
      <c r="N1" s="224"/>
      <c r="O1" s="224"/>
      <c r="P1" s="224"/>
      <c r="Q1" s="224"/>
      <c r="R1" s="224"/>
      <c r="S1" s="225"/>
      <c r="T1" s="226"/>
      <c r="U1" s="226"/>
      <c r="V1" s="225"/>
      <c r="W1" s="227"/>
      <c r="X1" s="227"/>
      <c r="Y1" s="227"/>
      <c r="Z1" s="228"/>
      <c r="AA1" s="228"/>
      <c r="AB1" s="228"/>
      <c r="AC1" s="228"/>
      <c r="AD1" s="228"/>
      <c r="AE1" s="228"/>
      <c r="AF1" s="228"/>
      <c r="AG1" s="228"/>
      <c r="AH1" s="228"/>
      <c r="AI1" s="228"/>
      <c r="AJ1" s="228"/>
      <c r="AK1" s="229"/>
      <c r="AL1" s="227"/>
      <c r="AM1" s="408"/>
      <c r="AN1" s="228"/>
      <c r="AO1" s="228"/>
      <c r="AP1" s="228"/>
      <c r="AQ1" s="228"/>
      <c r="AR1" s="230"/>
      <c r="AS1" s="232"/>
    </row>
    <row r="2" spans="1:45" s="231" customFormat="1" ht="13.5" customHeight="1" thickBot="1" x14ac:dyDescent="0.3">
      <c r="A2" s="233"/>
      <c r="B2" s="960"/>
      <c r="C2" s="960"/>
      <c r="D2" s="960"/>
      <c r="E2" s="960"/>
      <c r="F2" s="960"/>
      <c r="G2" s="960"/>
      <c r="H2" s="960"/>
      <c r="I2" s="960"/>
      <c r="J2" s="960"/>
      <c r="K2" s="960"/>
      <c r="L2" s="960"/>
      <c r="M2" s="960"/>
      <c r="N2" s="960"/>
      <c r="O2" s="960"/>
      <c r="P2" s="960"/>
      <c r="Q2" s="234"/>
      <c r="R2" s="234"/>
      <c r="S2" s="233"/>
      <c r="T2" s="234"/>
      <c r="U2" s="234"/>
      <c r="V2" s="233"/>
      <c r="W2" s="233"/>
      <c r="X2" s="233"/>
      <c r="Y2" s="233"/>
      <c r="Z2" s="234"/>
      <c r="AA2" s="234"/>
      <c r="AB2" s="234"/>
      <c r="AC2" s="234"/>
      <c r="AD2" s="234"/>
      <c r="AE2" s="234"/>
      <c r="AF2" s="234"/>
      <c r="AG2" s="234"/>
      <c r="AH2" s="234"/>
      <c r="AI2" s="234"/>
      <c r="AJ2" s="234"/>
      <c r="AK2" s="233"/>
      <c r="AL2" s="227"/>
      <c r="AM2" s="408"/>
      <c r="AN2" s="228"/>
      <c r="AO2" s="228"/>
      <c r="AP2" s="228"/>
      <c r="AQ2" s="228"/>
      <c r="AR2" s="230"/>
      <c r="AS2" s="232"/>
    </row>
    <row r="3" spans="1:45" s="235" customFormat="1" ht="24.6" customHeight="1" x14ac:dyDescent="0.25">
      <c r="A3" s="961"/>
      <c r="B3" s="962"/>
      <c r="C3" s="962"/>
      <c r="D3" s="962"/>
      <c r="E3" s="963"/>
      <c r="F3" s="580"/>
      <c r="G3" s="964" t="s">
        <v>294</v>
      </c>
      <c r="H3" s="965"/>
      <c r="I3" s="965"/>
      <c r="J3" s="966"/>
      <c r="K3" s="964"/>
      <c r="L3" s="965"/>
      <c r="M3" s="965"/>
      <c r="N3" s="965"/>
      <c r="O3" s="965"/>
      <c r="P3" s="965"/>
      <c r="Q3" s="965"/>
      <c r="R3" s="965"/>
      <c r="S3" s="965"/>
      <c r="T3" s="965"/>
      <c r="U3" s="965"/>
      <c r="V3" s="965"/>
      <c r="W3" s="965"/>
      <c r="X3" s="965"/>
      <c r="Y3" s="965"/>
      <c r="Z3" s="965"/>
      <c r="AA3" s="965"/>
      <c r="AB3" s="966"/>
      <c r="AC3" s="926" t="s">
        <v>313</v>
      </c>
      <c r="AD3" s="927"/>
      <c r="AE3" s="927"/>
      <c r="AF3" s="927"/>
      <c r="AG3" s="927"/>
      <c r="AH3" s="927"/>
      <c r="AI3" s="927"/>
      <c r="AJ3" s="928"/>
      <c r="AK3" s="938" t="s">
        <v>319</v>
      </c>
      <c r="AL3" s="938" t="s">
        <v>320</v>
      </c>
      <c r="AM3" s="917" t="s">
        <v>321</v>
      </c>
      <c r="AN3" s="917"/>
      <c r="AO3" s="917"/>
      <c r="AP3" s="917"/>
      <c r="AQ3" s="918"/>
      <c r="AR3" s="919"/>
      <c r="AS3" s="236"/>
    </row>
    <row r="4" spans="1:45" s="238" customFormat="1" ht="18" customHeight="1" x14ac:dyDescent="0.25">
      <c r="A4" s="943" t="s">
        <v>291</v>
      </c>
      <c r="B4" s="946" t="s">
        <v>214</v>
      </c>
      <c r="C4" s="947"/>
      <c r="D4" s="946" t="s">
        <v>292</v>
      </c>
      <c r="E4" s="947"/>
      <c r="F4" s="581"/>
      <c r="G4" s="952" t="s">
        <v>295</v>
      </c>
      <c r="H4" s="953"/>
      <c r="I4" s="953"/>
      <c r="J4" s="954"/>
      <c r="K4" s="952" t="s">
        <v>269</v>
      </c>
      <c r="L4" s="953"/>
      <c r="M4" s="953"/>
      <c r="N4" s="953"/>
      <c r="O4" s="953"/>
      <c r="P4" s="953"/>
      <c r="Q4" s="953"/>
      <c r="R4" s="953"/>
      <c r="S4" s="954"/>
      <c r="T4" s="914" t="s">
        <v>305</v>
      </c>
      <c r="U4" s="915"/>
      <c r="V4" s="915"/>
      <c r="W4" s="915"/>
      <c r="X4" s="915"/>
      <c r="Y4" s="916"/>
      <c r="Z4" s="932" t="s">
        <v>308</v>
      </c>
      <c r="AA4" s="933"/>
      <c r="AB4" s="934"/>
      <c r="AC4" s="929"/>
      <c r="AD4" s="930"/>
      <c r="AE4" s="930"/>
      <c r="AF4" s="930"/>
      <c r="AG4" s="930"/>
      <c r="AH4" s="930"/>
      <c r="AI4" s="930"/>
      <c r="AJ4" s="931"/>
      <c r="AK4" s="939"/>
      <c r="AL4" s="939"/>
      <c r="AM4" s="920"/>
      <c r="AN4" s="920"/>
      <c r="AO4" s="920"/>
      <c r="AP4" s="920"/>
      <c r="AQ4" s="914"/>
      <c r="AR4" s="921"/>
      <c r="AS4" s="239"/>
    </row>
    <row r="5" spans="1:45" s="238" customFormat="1" ht="17.100000000000001" customHeight="1" x14ac:dyDescent="0.25">
      <c r="A5" s="944"/>
      <c r="B5" s="948"/>
      <c r="C5" s="949"/>
      <c r="D5" s="948"/>
      <c r="E5" s="949"/>
      <c r="F5" s="958" t="s">
        <v>293</v>
      </c>
      <c r="G5" s="955"/>
      <c r="H5" s="956"/>
      <c r="I5" s="956"/>
      <c r="J5" s="957"/>
      <c r="K5" s="955"/>
      <c r="L5" s="956"/>
      <c r="M5" s="956"/>
      <c r="N5" s="956"/>
      <c r="O5" s="956"/>
      <c r="P5" s="956"/>
      <c r="Q5" s="956"/>
      <c r="R5" s="956"/>
      <c r="S5" s="957"/>
      <c r="T5" s="914" t="s">
        <v>306</v>
      </c>
      <c r="U5" s="915"/>
      <c r="V5" s="916"/>
      <c r="W5" s="922" t="s">
        <v>307</v>
      </c>
      <c r="X5" s="923"/>
      <c r="Y5" s="924"/>
      <c r="Z5" s="935"/>
      <c r="AA5" s="936"/>
      <c r="AB5" s="937"/>
      <c r="AC5" s="941" t="s">
        <v>272</v>
      </c>
      <c r="AD5" s="941" t="s">
        <v>314</v>
      </c>
      <c r="AE5" s="914" t="s">
        <v>274</v>
      </c>
      <c r="AF5" s="915"/>
      <c r="AG5" s="916"/>
      <c r="AH5" s="914" t="s">
        <v>318</v>
      </c>
      <c r="AI5" s="915"/>
      <c r="AJ5" s="916"/>
      <c r="AK5" s="939"/>
      <c r="AL5" s="939"/>
      <c r="AM5" s="920"/>
      <c r="AN5" s="920"/>
      <c r="AO5" s="920"/>
      <c r="AP5" s="920"/>
      <c r="AQ5" s="914"/>
      <c r="AR5" s="921"/>
      <c r="AS5" s="239"/>
    </row>
    <row r="6" spans="1:45" s="240" customFormat="1" ht="38.25" customHeight="1" x14ac:dyDescent="0.25">
      <c r="A6" s="945"/>
      <c r="B6" s="950"/>
      <c r="C6" s="951"/>
      <c r="D6" s="950"/>
      <c r="E6" s="951"/>
      <c r="F6" s="959"/>
      <c r="G6" s="734" t="s">
        <v>369</v>
      </c>
      <c r="H6" s="583" t="s">
        <v>296</v>
      </c>
      <c r="I6" s="583" t="s">
        <v>297</v>
      </c>
      <c r="J6" s="583" t="s">
        <v>298</v>
      </c>
      <c r="K6" s="583" t="s">
        <v>299</v>
      </c>
      <c r="L6" s="583" t="s">
        <v>300</v>
      </c>
      <c r="M6" s="583" t="s">
        <v>301</v>
      </c>
      <c r="N6" s="583" t="s">
        <v>302</v>
      </c>
      <c r="O6" s="583" t="s">
        <v>303</v>
      </c>
      <c r="P6" s="583" t="s">
        <v>304</v>
      </c>
      <c r="Q6" s="583" t="s">
        <v>370</v>
      </c>
      <c r="R6" s="583"/>
      <c r="S6" s="584" t="s">
        <v>298</v>
      </c>
      <c r="T6" s="583" t="s">
        <v>309</v>
      </c>
      <c r="U6" s="734" t="s">
        <v>310</v>
      </c>
      <c r="V6" s="795" t="s">
        <v>1</v>
      </c>
      <c r="W6" s="583" t="s">
        <v>309</v>
      </c>
      <c r="X6" s="584" t="s">
        <v>310</v>
      </c>
      <c r="Y6" s="795" t="s">
        <v>0</v>
      </c>
      <c r="Z6" s="734" t="s">
        <v>311</v>
      </c>
      <c r="AA6" s="734" t="s">
        <v>312</v>
      </c>
      <c r="AB6" s="734" t="s">
        <v>0</v>
      </c>
      <c r="AC6" s="942"/>
      <c r="AD6" s="942"/>
      <c r="AE6" s="734" t="s">
        <v>315</v>
      </c>
      <c r="AF6" s="734" t="s">
        <v>316</v>
      </c>
      <c r="AG6" s="734" t="s">
        <v>298</v>
      </c>
      <c r="AH6" s="734" t="s">
        <v>317</v>
      </c>
      <c r="AI6" s="786" t="s">
        <v>316</v>
      </c>
      <c r="AJ6" s="786" t="s">
        <v>298</v>
      </c>
      <c r="AK6" s="940"/>
      <c r="AL6" s="940"/>
      <c r="AM6" s="585" t="s">
        <v>286</v>
      </c>
      <c r="AN6" s="586" t="s">
        <v>287</v>
      </c>
      <c r="AO6" s="586" t="s">
        <v>322</v>
      </c>
      <c r="AP6" s="586" t="s">
        <v>288</v>
      </c>
      <c r="AQ6" s="582" t="s">
        <v>198</v>
      </c>
      <c r="AR6" s="735" t="s">
        <v>258</v>
      </c>
      <c r="AS6" s="241"/>
    </row>
    <row r="7" spans="1:45" s="245" customFormat="1" x14ac:dyDescent="0.25">
      <c r="A7" s="587" t="s">
        <v>3</v>
      </c>
      <c r="B7" s="588" t="s">
        <v>5</v>
      </c>
      <c r="C7" s="591" t="s">
        <v>6</v>
      </c>
      <c r="D7" s="590" t="s">
        <v>7</v>
      </c>
      <c r="E7" s="599" t="s">
        <v>8</v>
      </c>
      <c r="F7" s="592"/>
      <c r="G7" s="593">
        <v>1</v>
      </c>
      <c r="H7" s="593">
        <v>2</v>
      </c>
      <c r="I7" s="593">
        <v>3</v>
      </c>
      <c r="J7" s="593">
        <v>4</v>
      </c>
      <c r="K7" s="593">
        <v>5</v>
      </c>
      <c r="L7" s="593">
        <v>6</v>
      </c>
      <c r="M7" s="593">
        <v>7</v>
      </c>
      <c r="N7" s="593">
        <v>8</v>
      </c>
      <c r="O7" s="593">
        <v>9</v>
      </c>
      <c r="P7" s="593">
        <v>10</v>
      </c>
      <c r="Q7" s="593">
        <v>11</v>
      </c>
      <c r="R7" s="593">
        <v>12</v>
      </c>
      <c r="S7" s="593">
        <v>13</v>
      </c>
      <c r="T7" s="593">
        <v>14</v>
      </c>
      <c r="U7" s="593">
        <v>15</v>
      </c>
      <c r="V7" s="593">
        <v>16</v>
      </c>
      <c r="W7" s="593">
        <v>17</v>
      </c>
      <c r="X7" s="593">
        <v>18</v>
      </c>
      <c r="Y7" s="593">
        <v>19</v>
      </c>
      <c r="Z7" s="593">
        <v>20</v>
      </c>
      <c r="AA7" s="593">
        <v>21</v>
      </c>
      <c r="AB7" s="593">
        <v>22</v>
      </c>
      <c r="AC7" s="593">
        <v>23</v>
      </c>
      <c r="AD7" s="593">
        <v>24</v>
      </c>
      <c r="AE7" s="593">
        <v>25</v>
      </c>
      <c r="AF7" s="593">
        <v>26</v>
      </c>
      <c r="AG7" s="593">
        <v>27</v>
      </c>
      <c r="AH7" s="593">
        <v>28</v>
      </c>
      <c r="AI7" s="593">
        <v>29</v>
      </c>
      <c r="AJ7" s="593">
        <v>30</v>
      </c>
      <c r="AK7" s="593">
        <v>31</v>
      </c>
      <c r="AL7" s="593">
        <v>32</v>
      </c>
      <c r="AM7" s="593">
        <v>33</v>
      </c>
      <c r="AN7" s="593">
        <v>34</v>
      </c>
      <c r="AO7" s="593">
        <v>35</v>
      </c>
      <c r="AP7" s="593">
        <v>36</v>
      </c>
      <c r="AQ7" s="593">
        <v>37</v>
      </c>
      <c r="AR7" s="593">
        <v>38</v>
      </c>
      <c r="AS7" s="246"/>
    </row>
    <row r="8" spans="1:45" s="245" customFormat="1" ht="18.75" customHeight="1" x14ac:dyDescent="0.25">
      <c r="A8" s="974" t="s">
        <v>565</v>
      </c>
      <c r="B8" s="975"/>
      <c r="C8" s="975"/>
      <c r="D8" s="975"/>
      <c r="E8" s="975"/>
      <c r="F8" s="975"/>
      <c r="G8" s="975"/>
      <c r="H8" s="975"/>
      <c r="I8" s="975"/>
      <c r="J8" s="975"/>
      <c r="K8" s="975"/>
      <c r="L8" s="975"/>
      <c r="M8" s="975"/>
      <c r="N8" s="975"/>
      <c r="O8" s="975"/>
      <c r="P8" s="975"/>
      <c r="Q8" s="975"/>
      <c r="R8" s="975"/>
      <c r="S8" s="975"/>
      <c r="T8" s="975"/>
      <c r="U8" s="975"/>
      <c r="V8" s="975"/>
      <c r="W8" s="975"/>
      <c r="X8" s="975"/>
      <c r="Y8" s="975"/>
      <c r="Z8" s="975"/>
      <c r="AA8" s="975"/>
      <c r="AB8" s="975"/>
      <c r="AC8" s="975"/>
      <c r="AD8" s="975"/>
      <c r="AE8" s="975"/>
      <c r="AF8" s="975"/>
      <c r="AG8" s="975"/>
      <c r="AH8" s="975"/>
      <c r="AI8" s="975"/>
      <c r="AJ8" s="975"/>
      <c r="AK8" s="975"/>
      <c r="AL8" s="975"/>
      <c r="AM8" s="975"/>
      <c r="AN8" s="975"/>
      <c r="AO8" s="975"/>
      <c r="AP8" s="975"/>
      <c r="AQ8" s="975"/>
      <c r="AR8" s="976"/>
      <c r="AS8" s="246"/>
    </row>
    <row r="9" spans="1:45" s="238" customFormat="1" ht="54.75" customHeight="1" x14ac:dyDescent="0.25">
      <c r="A9" s="977">
        <v>4</v>
      </c>
      <c r="B9" s="973">
        <v>4.0999999999999996</v>
      </c>
      <c r="C9" s="925" t="s">
        <v>323</v>
      </c>
      <c r="D9" s="265" t="s">
        <v>24</v>
      </c>
      <c r="E9" s="600" t="s">
        <v>325</v>
      </c>
      <c r="F9" s="249"/>
      <c r="G9" s="266"/>
      <c r="H9" s="267"/>
      <c r="I9" s="267"/>
      <c r="J9" s="253">
        <f>G9*H9*I9</f>
        <v>0</v>
      </c>
      <c r="K9" s="268">
        <v>10</v>
      </c>
      <c r="L9" s="268">
        <v>2</v>
      </c>
      <c r="M9" s="268">
        <v>20</v>
      </c>
      <c r="N9" s="268">
        <v>300</v>
      </c>
      <c r="O9" s="268">
        <v>25</v>
      </c>
      <c r="P9" s="268"/>
      <c r="Q9" s="268">
        <v>20</v>
      </c>
      <c r="R9" s="268"/>
      <c r="S9" s="254">
        <f>(K9*L9*N9)+(K9*L9*M9*O9)+(K9*L9*M9*P9)+(K9*M9*Q9)+(K9*L9*R9)</f>
        <v>20000</v>
      </c>
      <c r="T9" s="269">
        <v>500</v>
      </c>
      <c r="U9" s="269">
        <v>350</v>
      </c>
      <c r="V9" s="255">
        <f>T9*U9</f>
        <v>175000</v>
      </c>
      <c r="W9" s="270">
        <v>700</v>
      </c>
      <c r="X9" s="270">
        <v>1200</v>
      </c>
      <c r="Y9" s="255">
        <f>W9*X9</f>
        <v>840000</v>
      </c>
      <c r="Z9" s="271"/>
      <c r="AA9" s="271"/>
      <c r="AB9" s="256">
        <f>Z9*AA9</f>
        <v>0</v>
      </c>
      <c r="AC9" s="256"/>
      <c r="AD9" s="256"/>
      <c r="AE9" s="413"/>
      <c r="AF9" s="413"/>
      <c r="AG9" s="256">
        <f>AE9*AF9</f>
        <v>0</v>
      </c>
      <c r="AH9" s="252"/>
      <c r="AI9" s="252"/>
      <c r="AJ9" s="256">
        <f>AH9*AI9</f>
        <v>0</v>
      </c>
      <c r="AK9" s="255">
        <v>200000</v>
      </c>
      <c r="AL9" s="255">
        <f t="shared" ref="AL9:AL14" si="0">J9+S9+V9+Y9+AB9+AG9+AJ9+AK9+AC9+AD9</f>
        <v>1235000</v>
      </c>
      <c r="AM9" s="409"/>
      <c r="AN9" s="272"/>
      <c r="AO9" s="272"/>
      <c r="AP9" s="272"/>
      <c r="AQ9" s="272"/>
      <c r="AR9" s="258">
        <f t="shared" ref="AR9:AR14" si="1">AL9-AM9-AN9-AO9-AP9-AQ9</f>
        <v>1235000</v>
      </c>
      <c r="AS9" s="239"/>
    </row>
    <row r="10" spans="1:45" s="238" customFormat="1" ht="54.75" customHeight="1" x14ac:dyDescent="0.25">
      <c r="A10" s="978"/>
      <c r="B10" s="973"/>
      <c r="C10" s="925"/>
      <c r="D10" s="265" t="s">
        <v>55</v>
      </c>
      <c r="E10" s="265" t="s">
        <v>326</v>
      </c>
      <c r="F10" s="249"/>
      <c r="G10" s="266"/>
      <c r="H10" s="267"/>
      <c r="I10" s="267"/>
      <c r="J10" s="253"/>
      <c r="K10" s="268"/>
      <c r="L10" s="268"/>
      <c r="M10" s="268"/>
      <c r="N10" s="268"/>
      <c r="O10" s="268"/>
      <c r="P10" s="268"/>
      <c r="Q10" s="268"/>
      <c r="R10" s="268"/>
      <c r="S10" s="254"/>
      <c r="T10" s="269"/>
      <c r="U10" s="269"/>
      <c r="V10" s="255">
        <v>50000</v>
      </c>
      <c r="W10" s="270"/>
      <c r="X10" s="270"/>
      <c r="Y10" s="255"/>
      <c r="Z10" s="271"/>
      <c r="AA10" s="271"/>
      <c r="AB10" s="256"/>
      <c r="AC10" s="256"/>
      <c r="AD10" s="256"/>
      <c r="AE10" s="413"/>
      <c r="AF10" s="413"/>
      <c r="AG10" s="256"/>
      <c r="AH10" s="252"/>
      <c r="AI10" s="252"/>
      <c r="AJ10" s="256"/>
      <c r="AK10" s="255"/>
      <c r="AL10" s="255">
        <f t="shared" si="0"/>
        <v>50000</v>
      </c>
      <c r="AM10" s="409"/>
      <c r="AN10" s="272"/>
      <c r="AO10" s="272"/>
      <c r="AP10" s="272"/>
      <c r="AQ10" s="272"/>
      <c r="AR10" s="258">
        <f t="shared" si="1"/>
        <v>50000</v>
      </c>
      <c r="AS10" s="239"/>
    </row>
    <row r="11" spans="1:45" s="290" customFormat="1" ht="43.5" customHeight="1" x14ac:dyDescent="0.25">
      <c r="A11" s="978"/>
      <c r="B11" s="973"/>
      <c r="C11" s="925"/>
      <c r="D11" s="265" t="s">
        <v>138</v>
      </c>
      <c r="E11" s="265" t="s">
        <v>327</v>
      </c>
      <c r="F11" s="249"/>
      <c r="G11" s="266"/>
      <c r="H11" s="283"/>
      <c r="I11" s="283"/>
      <c r="J11" s="253">
        <f>G11*H11*I11</f>
        <v>0</v>
      </c>
      <c r="K11" s="268">
        <v>15</v>
      </c>
      <c r="L11" s="268">
        <v>5</v>
      </c>
      <c r="M11" s="284">
        <v>15</v>
      </c>
      <c r="N11" s="285">
        <v>300</v>
      </c>
      <c r="O11" s="285">
        <v>25</v>
      </c>
      <c r="P11" s="285"/>
      <c r="Q11" s="285">
        <v>20</v>
      </c>
      <c r="R11" s="285"/>
      <c r="S11" s="254">
        <f>(K11*L11*N11)+(K11*L11*M11*O11)+(K11*L11*M11*P11)+(K11*M11*Q11)+(K11*L11*R11)</f>
        <v>55125</v>
      </c>
      <c r="T11" s="286">
        <v>150</v>
      </c>
      <c r="U11" s="286">
        <v>350</v>
      </c>
      <c r="V11" s="255">
        <f>T11*U11</f>
        <v>52500</v>
      </c>
      <c r="W11" s="287">
        <v>320</v>
      </c>
      <c r="X11" s="287">
        <v>1200</v>
      </c>
      <c r="Y11" s="255">
        <f>W11*X11</f>
        <v>384000</v>
      </c>
      <c r="Z11" s="288"/>
      <c r="AA11" s="288"/>
      <c r="AB11" s="256">
        <f>Z11*AA11</f>
        <v>0</v>
      </c>
      <c r="AC11" s="579"/>
      <c r="AD11" s="579"/>
      <c r="AE11" s="578"/>
      <c r="AF11" s="578"/>
      <c r="AG11" s="256">
        <f>AE11*AF11</f>
        <v>0</v>
      </c>
      <c r="AH11" s="252"/>
      <c r="AI11" s="252"/>
      <c r="AJ11" s="256">
        <f>AH11*AI11</f>
        <v>0</v>
      </c>
      <c r="AK11" s="289">
        <v>50000</v>
      </c>
      <c r="AL11" s="255">
        <f t="shared" si="0"/>
        <v>541625</v>
      </c>
      <c r="AM11" s="409"/>
      <c r="AN11" s="272"/>
      <c r="AO11" s="272">
        <v>50000</v>
      </c>
      <c r="AP11" s="272"/>
      <c r="AQ11" s="272"/>
      <c r="AR11" s="258">
        <f t="shared" si="1"/>
        <v>491625</v>
      </c>
      <c r="AS11" s="291"/>
    </row>
    <row r="12" spans="1:45" s="259" customFormat="1" ht="54" customHeight="1" x14ac:dyDescent="0.25">
      <c r="A12" s="978"/>
      <c r="B12" s="973"/>
      <c r="C12" s="925"/>
      <c r="D12" s="265" t="s">
        <v>197</v>
      </c>
      <c r="E12" s="265" t="s">
        <v>328</v>
      </c>
      <c r="F12" s="249" t="s">
        <v>334</v>
      </c>
      <c r="G12" s="266"/>
      <c r="H12" s="283"/>
      <c r="I12" s="283"/>
      <c r="J12" s="253">
        <f>G12*H12*I12</f>
        <v>0</v>
      </c>
      <c r="K12" s="268"/>
      <c r="L12" s="268"/>
      <c r="M12" s="284"/>
      <c r="N12" s="293"/>
      <c r="O12" s="293"/>
      <c r="P12" s="293"/>
      <c r="Q12" s="293"/>
      <c r="R12" s="293"/>
      <c r="S12" s="254">
        <f>(K12*L12*N12)+(K12*L12*M12*O12)+(K12*L12*M12*P12)+(K12*M12*Q12)+(K12*L12*R12)</f>
        <v>0</v>
      </c>
      <c r="T12" s="294"/>
      <c r="U12" s="294"/>
      <c r="V12" s="255">
        <v>50000</v>
      </c>
      <c r="W12" s="295"/>
      <c r="X12" s="295"/>
      <c r="Y12" s="255">
        <v>100000</v>
      </c>
      <c r="Z12" s="288"/>
      <c r="AA12" s="288"/>
      <c r="AB12" s="256">
        <f>Z12*AA12</f>
        <v>0</v>
      </c>
      <c r="AC12" s="579"/>
      <c r="AD12" s="579">
        <v>150000</v>
      </c>
      <c r="AE12" s="578"/>
      <c r="AF12" s="578"/>
      <c r="AG12" s="256">
        <v>200000</v>
      </c>
      <c r="AH12" s="252"/>
      <c r="AI12" s="252"/>
      <c r="AJ12" s="256">
        <f>AH12*AI12</f>
        <v>0</v>
      </c>
      <c r="AK12" s="289"/>
      <c r="AL12" s="255">
        <f t="shared" si="0"/>
        <v>500000</v>
      </c>
      <c r="AM12" s="409"/>
      <c r="AN12" s="272">
        <v>500000</v>
      </c>
      <c r="AO12" s="272"/>
      <c r="AP12" s="272"/>
      <c r="AQ12" s="272"/>
      <c r="AR12" s="258">
        <f t="shared" si="1"/>
        <v>0</v>
      </c>
      <c r="AS12" s="261"/>
    </row>
    <row r="13" spans="1:45" s="259" customFormat="1" ht="34.5" customHeight="1" x14ac:dyDescent="0.25">
      <c r="A13" s="978"/>
      <c r="B13" s="973">
        <v>4.2</v>
      </c>
      <c r="C13" s="925" t="s">
        <v>324</v>
      </c>
      <c r="D13" s="250" t="s">
        <v>25</v>
      </c>
      <c r="E13" s="265" t="s">
        <v>329</v>
      </c>
      <c r="F13" s="251"/>
      <c r="G13" s="266"/>
      <c r="H13" s="283"/>
      <c r="I13" s="283"/>
      <c r="J13" s="253">
        <f>G13*H13*I13</f>
        <v>0</v>
      </c>
      <c r="K13" s="252"/>
      <c r="L13" s="252"/>
      <c r="M13" s="252"/>
      <c r="N13" s="252"/>
      <c r="O13" s="252"/>
      <c r="P13" s="252"/>
      <c r="Q13" s="252"/>
      <c r="R13" s="252"/>
      <c r="S13" s="254">
        <f>(K13*L13*N13)+(K13*L13*M13*O13)+(K13*L13*M13*P13)+(K13*M13*Q13)+(K13*L13*R13)</f>
        <v>0</v>
      </c>
      <c r="T13" s="252"/>
      <c r="U13" s="252"/>
      <c r="V13" s="255">
        <f>T13*U13</f>
        <v>0</v>
      </c>
      <c r="W13" s="252"/>
      <c r="X13" s="252"/>
      <c r="Y13" s="255">
        <f>W13*X13</f>
        <v>0</v>
      </c>
      <c r="Z13" s="252"/>
      <c r="AA13" s="252"/>
      <c r="AB13" s="256">
        <f>Z13*AA13</f>
        <v>0</v>
      </c>
      <c r="AC13" s="257"/>
      <c r="AD13" s="257"/>
      <c r="AE13" s="252"/>
      <c r="AF13" s="252"/>
      <c r="AG13" s="256">
        <f>AE13*AF13</f>
        <v>0</v>
      </c>
      <c r="AH13" s="252"/>
      <c r="AI13" s="252"/>
      <c r="AJ13" s="256">
        <f>AH13*AI13</f>
        <v>0</v>
      </c>
      <c r="AK13" s="262">
        <v>40000</v>
      </c>
      <c r="AL13" s="255">
        <f t="shared" si="0"/>
        <v>40000</v>
      </c>
      <c r="AM13" s="410">
        <v>40000</v>
      </c>
      <c r="AN13" s="252"/>
      <c r="AO13" s="252"/>
      <c r="AP13" s="252"/>
      <c r="AQ13" s="252"/>
      <c r="AR13" s="258">
        <f t="shared" si="1"/>
        <v>0</v>
      </c>
      <c r="AS13" s="261"/>
    </row>
    <row r="14" spans="1:45" s="259" customFormat="1" ht="47.25" customHeight="1" x14ac:dyDescent="0.25">
      <c r="A14" s="978"/>
      <c r="B14" s="973"/>
      <c r="C14" s="925"/>
      <c r="D14" s="250" t="s">
        <v>26</v>
      </c>
      <c r="E14" s="265" t="s">
        <v>330</v>
      </c>
      <c r="F14" s="251"/>
      <c r="G14" s="266"/>
      <c r="H14" s="283"/>
      <c r="I14" s="283"/>
      <c r="J14" s="253">
        <f>G14*H14*I14</f>
        <v>0</v>
      </c>
      <c r="K14" s="252"/>
      <c r="L14" s="252"/>
      <c r="M14" s="252"/>
      <c r="N14" s="252"/>
      <c r="O14" s="252"/>
      <c r="P14" s="252"/>
      <c r="Q14" s="252"/>
      <c r="R14" s="252"/>
      <c r="S14" s="254">
        <f>(K14*L14*N14)+(K14*L14*M14*O14)+(K14*L14*M14*P14)+(K14*M14*Q14)+(K14*L14*R14)</f>
        <v>0</v>
      </c>
      <c r="T14" s="252"/>
      <c r="U14" s="252"/>
      <c r="V14" s="255">
        <f>T14*U14</f>
        <v>0</v>
      </c>
      <c r="W14" s="252"/>
      <c r="X14" s="252"/>
      <c r="Y14" s="255">
        <f>W14*X14</f>
        <v>0</v>
      </c>
      <c r="Z14" s="252"/>
      <c r="AA14" s="252"/>
      <c r="AB14" s="256">
        <f>Z14*AA14</f>
        <v>0</v>
      </c>
      <c r="AC14" s="257"/>
      <c r="AD14" s="257"/>
      <c r="AE14" s="252"/>
      <c r="AF14" s="252"/>
      <c r="AG14" s="256">
        <f>AE14*AF14</f>
        <v>0</v>
      </c>
      <c r="AH14" s="252"/>
      <c r="AI14" s="252"/>
      <c r="AJ14" s="256">
        <f>AH14*AI14</f>
        <v>0</v>
      </c>
      <c r="AK14" s="257">
        <v>30000</v>
      </c>
      <c r="AL14" s="255">
        <f t="shared" si="0"/>
        <v>30000</v>
      </c>
      <c r="AM14" s="410">
        <v>30000</v>
      </c>
      <c r="AN14" s="252"/>
      <c r="AO14" s="252"/>
      <c r="AP14" s="252"/>
      <c r="AQ14" s="252"/>
      <c r="AR14" s="258">
        <f t="shared" si="1"/>
        <v>0</v>
      </c>
      <c r="AS14" s="261"/>
    </row>
    <row r="15" spans="1:45" s="259" customFormat="1" ht="16.5" customHeight="1" x14ac:dyDescent="0.25">
      <c r="A15" s="418"/>
      <c r="B15" s="419"/>
      <c r="C15" s="420"/>
      <c r="D15" s="421"/>
      <c r="E15" s="601"/>
      <c r="F15" s="422"/>
      <c r="G15" s="423"/>
      <c r="H15" s="423"/>
      <c r="I15" s="423"/>
      <c r="J15" s="424"/>
      <c r="K15" s="423"/>
      <c r="L15" s="423"/>
      <c r="M15" s="423"/>
      <c r="N15" s="423"/>
      <c r="O15" s="423"/>
      <c r="P15" s="423"/>
      <c r="Q15" s="423"/>
      <c r="R15" s="423"/>
      <c r="S15" s="425">
        <f>SUM(S9:S14)</f>
        <v>75125</v>
      </c>
      <c r="T15" s="425"/>
      <c r="U15" s="425"/>
      <c r="V15" s="425">
        <f t="shared" ref="V15:AR15" si="2">SUM(V9:V14)</f>
        <v>327500</v>
      </c>
      <c r="W15" s="425"/>
      <c r="X15" s="425"/>
      <c r="Y15" s="425">
        <f t="shared" si="2"/>
        <v>1324000</v>
      </c>
      <c r="Z15" s="425">
        <f t="shared" si="2"/>
        <v>0</v>
      </c>
      <c r="AA15" s="425">
        <f t="shared" si="2"/>
        <v>0</v>
      </c>
      <c r="AB15" s="425">
        <f t="shared" si="2"/>
        <v>0</v>
      </c>
      <c r="AC15" s="425">
        <f t="shared" si="2"/>
        <v>0</v>
      </c>
      <c r="AD15" s="425">
        <f t="shared" si="2"/>
        <v>150000</v>
      </c>
      <c r="AE15" s="425">
        <f t="shared" si="2"/>
        <v>0</v>
      </c>
      <c r="AF15" s="425">
        <f t="shared" si="2"/>
        <v>0</v>
      </c>
      <c r="AG15" s="425">
        <f t="shared" si="2"/>
        <v>200000</v>
      </c>
      <c r="AH15" s="425">
        <f t="shared" si="2"/>
        <v>0</v>
      </c>
      <c r="AI15" s="425">
        <f t="shared" si="2"/>
        <v>0</v>
      </c>
      <c r="AJ15" s="425">
        <f t="shared" si="2"/>
        <v>0</v>
      </c>
      <c r="AK15" s="425">
        <f t="shared" si="2"/>
        <v>320000</v>
      </c>
      <c r="AL15" s="425">
        <f t="shared" si="2"/>
        <v>2396625</v>
      </c>
      <c r="AM15" s="425">
        <f t="shared" si="2"/>
        <v>70000</v>
      </c>
      <c r="AN15" s="425">
        <f t="shared" si="2"/>
        <v>500000</v>
      </c>
      <c r="AO15" s="425">
        <f t="shared" si="2"/>
        <v>50000</v>
      </c>
      <c r="AP15" s="425">
        <f t="shared" si="2"/>
        <v>0</v>
      </c>
      <c r="AQ15" s="425">
        <f t="shared" si="2"/>
        <v>0</v>
      </c>
      <c r="AR15" s="425">
        <f t="shared" si="2"/>
        <v>1776625</v>
      </c>
      <c r="AS15" s="261"/>
    </row>
    <row r="16" spans="1:45" s="245" customFormat="1" ht="21.75" customHeight="1" x14ac:dyDescent="0.25">
      <c r="A16" s="974" t="s">
        <v>331</v>
      </c>
      <c r="B16" s="975"/>
      <c r="C16" s="975"/>
      <c r="D16" s="975"/>
      <c r="E16" s="975"/>
      <c r="F16" s="975"/>
      <c r="G16" s="975"/>
      <c r="H16" s="975"/>
      <c r="I16" s="975"/>
      <c r="J16" s="975"/>
      <c r="K16" s="975"/>
      <c r="L16" s="975"/>
      <c r="M16" s="975"/>
      <c r="N16" s="975"/>
      <c r="O16" s="975"/>
      <c r="P16" s="975"/>
      <c r="Q16" s="975"/>
      <c r="R16" s="975"/>
      <c r="S16" s="975"/>
      <c r="T16" s="975"/>
      <c r="U16" s="975"/>
      <c r="V16" s="975"/>
      <c r="W16" s="975"/>
      <c r="X16" s="975"/>
      <c r="Y16" s="975"/>
      <c r="Z16" s="975"/>
      <c r="AA16" s="975"/>
      <c r="AB16" s="975"/>
      <c r="AC16" s="975"/>
      <c r="AD16" s="975"/>
      <c r="AE16" s="975"/>
      <c r="AF16" s="975"/>
      <c r="AG16" s="975"/>
      <c r="AH16" s="975"/>
      <c r="AI16" s="975"/>
      <c r="AJ16" s="975"/>
      <c r="AK16" s="975"/>
      <c r="AL16" s="975"/>
      <c r="AM16" s="975"/>
      <c r="AN16" s="975"/>
      <c r="AO16" s="975"/>
      <c r="AP16" s="975"/>
      <c r="AQ16" s="975"/>
      <c r="AR16" s="976"/>
      <c r="AS16" s="246"/>
    </row>
    <row r="17" spans="1:46" s="290" customFormat="1" ht="62.25" customHeight="1" x14ac:dyDescent="0.25">
      <c r="A17" s="331"/>
      <c r="B17" s="597">
        <v>6.1</v>
      </c>
      <c r="C17" s="564" t="s">
        <v>332</v>
      </c>
      <c r="D17" s="265" t="s">
        <v>191</v>
      </c>
      <c r="E17" s="265" t="s">
        <v>339</v>
      </c>
      <c r="F17" s="249" t="s">
        <v>335</v>
      </c>
      <c r="G17" s="266"/>
      <c r="H17" s="283"/>
      <c r="I17" s="283"/>
      <c r="J17" s="253"/>
      <c r="K17" s="268"/>
      <c r="L17" s="268"/>
      <c r="M17" s="284"/>
      <c r="N17" s="293"/>
      <c r="O17" s="293"/>
      <c r="P17" s="293"/>
      <c r="Q17" s="293"/>
      <c r="R17" s="293"/>
      <c r="S17" s="254"/>
      <c r="T17" s="294"/>
      <c r="U17" s="294"/>
      <c r="V17" s="255"/>
      <c r="W17" s="295"/>
      <c r="X17" s="295"/>
      <c r="Y17" s="255"/>
      <c r="Z17" s="288"/>
      <c r="AA17" s="288"/>
      <c r="AB17" s="256"/>
      <c r="AC17" s="579"/>
      <c r="AD17" s="579"/>
      <c r="AE17" s="578"/>
      <c r="AF17" s="578"/>
      <c r="AG17" s="256"/>
      <c r="AH17" s="578"/>
      <c r="AI17" s="578"/>
      <c r="AJ17" s="256"/>
      <c r="AK17" s="289">
        <v>50000</v>
      </c>
      <c r="AL17" s="255">
        <v>50000</v>
      </c>
      <c r="AM17" s="409">
        <v>50000</v>
      </c>
      <c r="AN17" s="272"/>
      <c r="AO17" s="272"/>
      <c r="AP17" s="272"/>
      <c r="AQ17" s="272"/>
      <c r="AR17" s="258">
        <f>AL17-AM17-AN17-AO17-AP17-AQ17</f>
        <v>0</v>
      </c>
      <c r="AS17" s="296"/>
      <c r="AT17" s="297"/>
    </row>
    <row r="18" spans="1:46" ht="40.5" customHeight="1" x14ac:dyDescent="0.25">
      <c r="A18" s="968">
        <v>6</v>
      </c>
      <c r="B18" s="968">
        <v>6.2</v>
      </c>
      <c r="C18" s="970" t="s">
        <v>333</v>
      </c>
      <c r="D18" s="265" t="s">
        <v>170</v>
      </c>
      <c r="E18" s="265" t="s">
        <v>338</v>
      </c>
      <c r="F18" s="814" t="s">
        <v>619</v>
      </c>
      <c r="G18" s="266"/>
      <c r="H18" s="267"/>
      <c r="I18" s="267"/>
      <c r="J18" s="253">
        <f>G18*H18*I18</f>
        <v>0</v>
      </c>
      <c r="K18" s="268"/>
      <c r="L18" s="268"/>
      <c r="M18" s="268"/>
      <c r="N18" s="268"/>
      <c r="O18" s="268"/>
      <c r="P18" s="268"/>
      <c r="Q18" s="268"/>
      <c r="R18" s="268"/>
      <c r="S18" s="254">
        <f>(K18*L18*N18)+(K18*L18*M18*O18)+(K18*L18*M18*P18)+(K18*M18*Q18)+(K18*L18*R18)</f>
        <v>0</v>
      </c>
      <c r="T18" s="269"/>
      <c r="U18" s="269"/>
      <c r="V18" s="255">
        <f>T18*U18</f>
        <v>0</v>
      </c>
      <c r="W18" s="270"/>
      <c r="X18" s="270"/>
      <c r="Y18" s="255">
        <f>W18*X18</f>
        <v>0</v>
      </c>
      <c r="Z18" s="271"/>
      <c r="AA18" s="271"/>
      <c r="AB18" s="256">
        <f t="shared" ref="AB18:AB35" si="3">Z18*AA18</f>
        <v>0</v>
      </c>
      <c r="AC18" s="256"/>
      <c r="AD18" s="256"/>
      <c r="AE18" s="413"/>
      <c r="AF18" s="413"/>
      <c r="AG18" s="256">
        <f>AE18*AF18</f>
        <v>0</v>
      </c>
      <c r="AH18" s="413"/>
      <c r="AI18" s="413"/>
      <c r="AJ18" s="256">
        <f>AH18*AI18</f>
        <v>0</v>
      </c>
      <c r="AK18" s="255">
        <v>60000</v>
      </c>
      <c r="AL18" s="255">
        <v>60000</v>
      </c>
      <c r="AM18" s="409">
        <v>60000</v>
      </c>
      <c r="AN18" s="272"/>
      <c r="AO18" s="272"/>
      <c r="AP18" s="272"/>
      <c r="AQ18" s="272"/>
      <c r="AR18" s="258">
        <f t="shared" ref="AR18:AR36" si="4">AL18-AM18-AN18-AO18-AP18-AQ18</f>
        <v>0</v>
      </c>
    </row>
    <row r="19" spans="1:46" ht="35.25" customHeight="1" x14ac:dyDescent="0.25">
      <c r="A19" s="979"/>
      <c r="B19" s="979"/>
      <c r="C19" s="980"/>
      <c r="D19" s="265" t="s">
        <v>171</v>
      </c>
      <c r="E19" s="265" t="s">
        <v>340</v>
      </c>
      <c r="F19" s="496"/>
      <c r="G19" s="266"/>
      <c r="H19" s="267"/>
      <c r="I19" s="267"/>
      <c r="J19" s="253">
        <f>G19*H19*I19</f>
        <v>0</v>
      </c>
      <c r="K19" s="268">
        <v>2</v>
      </c>
      <c r="L19" s="268">
        <v>1</v>
      </c>
      <c r="M19" s="268">
        <v>20</v>
      </c>
      <c r="N19" s="268">
        <v>300</v>
      </c>
      <c r="O19" s="268">
        <v>25</v>
      </c>
      <c r="P19" s="268"/>
      <c r="Q19" s="268">
        <v>20</v>
      </c>
      <c r="R19" s="268"/>
      <c r="S19" s="254">
        <f>(K19*L19*N19)+(K19*L19*M19*O19)+(K19*L19*M19*P19)+(K19*M19*Q19)+(K19*L19*R19)</f>
        <v>2400</v>
      </c>
      <c r="T19" s="269">
        <v>50</v>
      </c>
      <c r="U19" s="269">
        <v>350</v>
      </c>
      <c r="V19" s="255">
        <f>T19*U19</f>
        <v>17500</v>
      </c>
      <c r="W19" s="270"/>
      <c r="X19" s="270"/>
      <c r="Y19" s="255">
        <f>W19*X19</f>
        <v>0</v>
      </c>
      <c r="Z19" s="271"/>
      <c r="AA19" s="271"/>
      <c r="AB19" s="256">
        <f t="shared" si="3"/>
        <v>0</v>
      </c>
      <c r="AC19" s="256"/>
      <c r="AD19" s="256"/>
      <c r="AE19" s="413"/>
      <c r="AF19" s="413"/>
      <c r="AG19" s="256">
        <f>AE19*AF19</f>
        <v>0</v>
      </c>
      <c r="AH19" s="413"/>
      <c r="AI19" s="413"/>
      <c r="AJ19" s="256">
        <f>AH19*AI19</f>
        <v>0</v>
      </c>
      <c r="AK19" s="255"/>
      <c r="AL19" s="255">
        <f t="shared" ref="AL19:AL35" si="5">J19+S19+V19+Y19+AB19+AG19+AJ19+AK19+AC19+AD19</f>
        <v>19900</v>
      </c>
      <c r="AM19" s="409"/>
      <c r="AN19" s="272"/>
      <c r="AO19" s="272"/>
      <c r="AP19" s="272"/>
      <c r="AQ19" s="272"/>
      <c r="AR19" s="258">
        <f t="shared" si="4"/>
        <v>19900</v>
      </c>
    </row>
    <row r="20" spans="1:46" ht="43.5" customHeight="1" x14ac:dyDescent="0.25">
      <c r="A20" s="979"/>
      <c r="B20" s="969"/>
      <c r="C20" s="971"/>
      <c r="D20" s="265" t="s">
        <v>190</v>
      </c>
      <c r="E20" s="265" t="s">
        <v>341</v>
      </c>
      <c r="F20" s="249" t="s">
        <v>342</v>
      </c>
      <c r="G20" s="266"/>
      <c r="H20" s="267"/>
      <c r="I20" s="267"/>
      <c r="J20" s="253">
        <f>G20*H20*I20</f>
        <v>0</v>
      </c>
      <c r="K20" s="268"/>
      <c r="L20" s="268"/>
      <c r="M20" s="268"/>
      <c r="N20" s="268"/>
      <c r="O20" s="268"/>
      <c r="P20" s="268"/>
      <c r="Q20" s="268"/>
      <c r="R20" s="268"/>
      <c r="S20" s="254">
        <f>(K20*L20*N20)+(K20*L20*M20*O20)+(K20*L20*M20*P20)+(K20*M20*Q20)+(K20*L20*R20)</f>
        <v>0</v>
      </c>
      <c r="T20" s="269"/>
      <c r="U20" s="269"/>
      <c r="V20" s="255">
        <f>T20*U20</f>
        <v>0</v>
      </c>
      <c r="W20" s="270"/>
      <c r="X20" s="270"/>
      <c r="Y20" s="255">
        <f>W20*X20</f>
        <v>0</v>
      </c>
      <c r="Z20" s="271"/>
      <c r="AA20" s="271"/>
      <c r="AB20" s="256">
        <f t="shared" si="3"/>
        <v>0</v>
      </c>
      <c r="AC20" s="256"/>
      <c r="AD20" s="256"/>
      <c r="AE20" s="413"/>
      <c r="AF20" s="413"/>
      <c r="AG20" s="256">
        <f>AE20*AF20</f>
        <v>0</v>
      </c>
      <c r="AH20" s="413"/>
      <c r="AI20" s="413"/>
      <c r="AJ20" s="256">
        <f>AH20*AI20</f>
        <v>0</v>
      </c>
      <c r="AK20" s="255"/>
      <c r="AL20" s="255">
        <f t="shared" si="5"/>
        <v>0</v>
      </c>
      <c r="AM20" s="409"/>
      <c r="AN20" s="272"/>
      <c r="AO20" s="272"/>
      <c r="AP20" s="272"/>
      <c r="AQ20" s="272"/>
      <c r="AR20" s="258">
        <f t="shared" si="4"/>
        <v>0</v>
      </c>
    </row>
    <row r="21" spans="1:46" ht="42" customHeight="1" x14ac:dyDescent="0.25">
      <c r="A21" s="979"/>
      <c r="B21" s="205">
        <v>6.3</v>
      </c>
      <c r="C21" s="806" t="s">
        <v>337</v>
      </c>
      <c r="D21" s="265" t="s">
        <v>174</v>
      </c>
      <c r="E21" s="265" t="s">
        <v>343</v>
      </c>
      <c r="F21" s="249"/>
      <c r="G21" s="266"/>
      <c r="H21" s="267"/>
      <c r="I21" s="267"/>
      <c r="J21" s="253">
        <f>G21*H21*I21</f>
        <v>0</v>
      </c>
      <c r="K21" s="268"/>
      <c r="L21" s="268"/>
      <c r="M21" s="268"/>
      <c r="N21" s="268"/>
      <c r="O21" s="268"/>
      <c r="P21" s="268"/>
      <c r="Q21" s="268"/>
      <c r="R21" s="268"/>
      <c r="S21" s="254">
        <f>(K21*L21*N21)+(K21*L21*M21*O21)+(K21*L21*M21*P21)+(K21*M21*Q21)+(K21*L21*R21)</f>
        <v>0</v>
      </c>
      <c r="T21" s="269"/>
      <c r="U21" s="269"/>
      <c r="V21" s="255">
        <f>T21*U21</f>
        <v>0</v>
      </c>
      <c r="W21" s="270"/>
      <c r="X21" s="270"/>
      <c r="Y21" s="255">
        <f>W21*X21</f>
        <v>0</v>
      </c>
      <c r="Z21" s="271"/>
      <c r="AA21" s="271"/>
      <c r="AB21" s="256">
        <f t="shared" si="3"/>
        <v>0</v>
      </c>
      <c r="AC21" s="256"/>
      <c r="AD21" s="256"/>
      <c r="AE21" s="413"/>
      <c r="AF21" s="413"/>
      <c r="AG21" s="256">
        <f>AE21*AF21</f>
        <v>0</v>
      </c>
      <c r="AH21" s="413"/>
      <c r="AI21" s="413"/>
      <c r="AJ21" s="256">
        <f>AH21*AI21</f>
        <v>0</v>
      </c>
      <c r="AK21" s="255"/>
      <c r="AL21" s="255">
        <f t="shared" si="5"/>
        <v>0</v>
      </c>
      <c r="AM21" s="409"/>
      <c r="AN21" s="272"/>
      <c r="AO21" s="272"/>
      <c r="AP21" s="272"/>
      <c r="AQ21" s="272"/>
      <c r="AR21" s="258">
        <f t="shared" si="4"/>
        <v>0</v>
      </c>
    </row>
    <row r="22" spans="1:46" ht="63" customHeight="1" x14ac:dyDescent="0.25">
      <c r="A22" s="979"/>
      <c r="B22" s="968">
        <v>6.4</v>
      </c>
      <c r="C22" s="970" t="s">
        <v>576</v>
      </c>
      <c r="D22" s="265" t="s">
        <v>173</v>
      </c>
      <c r="E22" s="265" t="s">
        <v>344</v>
      </c>
      <c r="F22" s="249"/>
      <c r="G22" s="266"/>
      <c r="H22" s="267"/>
      <c r="I22" s="267"/>
      <c r="J22" s="253"/>
      <c r="K22" s="268"/>
      <c r="L22" s="268"/>
      <c r="M22" s="268"/>
      <c r="N22" s="268"/>
      <c r="O22" s="268"/>
      <c r="P22" s="268"/>
      <c r="Q22" s="268"/>
      <c r="R22" s="268"/>
      <c r="S22" s="254"/>
      <c r="T22" s="269"/>
      <c r="U22" s="269"/>
      <c r="V22" s="255"/>
      <c r="W22" s="270"/>
      <c r="X22" s="270"/>
      <c r="Y22" s="255">
        <v>300000</v>
      </c>
      <c r="Z22" s="271"/>
      <c r="AA22" s="271"/>
      <c r="AB22" s="256">
        <f t="shared" si="3"/>
        <v>0</v>
      </c>
      <c r="AC22" s="256"/>
      <c r="AD22" s="256"/>
      <c r="AE22" s="413"/>
      <c r="AF22" s="413"/>
      <c r="AG22" s="256"/>
      <c r="AH22" s="413"/>
      <c r="AI22" s="413"/>
      <c r="AJ22" s="256"/>
      <c r="AK22" s="255"/>
      <c r="AL22" s="255">
        <f t="shared" si="5"/>
        <v>300000</v>
      </c>
      <c r="AM22" s="409"/>
      <c r="AN22" s="272">
        <f>AL22</f>
        <v>300000</v>
      </c>
      <c r="AO22" s="272"/>
      <c r="AP22" s="272"/>
      <c r="AQ22" s="272"/>
      <c r="AR22" s="258">
        <f t="shared" si="4"/>
        <v>0</v>
      </c>
    </row>
    <row r="23" spans="1:46" ht="33" customHeight="1" x14ac:dyDescent="0.25">
      <c r="A23" s="979"/>
      <c r="B23" s="969"/>
      <c r="C23" s="971"/>
      <c r="D23" s="265" t="s">
        <v>172</v>
      </c>
      <c r="E23" s="265" t="s">
        <v>345</v>
      </c>
      <c r="F23" s="249"/>
      <c r="G23" s="266"/>
      <c r="H23" s="267"/>
      <c r="I23" s="267"/>
      <c r="J23" s="253">
        <f t="shared" ref="J23:J35" si="6">G23*H23*I23</f>
        <v>0</v>
      </c>
      <c r="K23" s="268"/>
      <c r="L23" s="268"/>
      <c r="M23" s="268"/>
      <c r="N23" s="268"/>
      <c r="O23" s="268"/>
      <c r="P23" s="268"/>
      <c r="Q23" s="268"/>
      <c r="R23" s="268"/>
      <c r="S23" s="254">
        <f>(K23*L23*N23)+(K23*L23*M23*O23)+(K23*L23*M23*P23)+(K23*M23*Q23)+(K23*L23*R23)</f>
        <v>0</v>
      </c>
      <c r="T23" s="269"/>
      <c r="U23" s="269"/>
      <c r="V23" s="255">
        <f t="shared" ref="V23:V35" si="7">T23*U23</f>
        <v>0</v>
      </c>
      <c r="W23" s="270"/>
      <c r="X23" s="270"/>
      <c r="Y23" s="255">
        <v>50000</v>
      </c>
      <c r="Z23" s="271"/>
      <c r="AA23" s="271"/>
      <c r="AB23" s="256">
        <f t="shared" si="3"/>
        <v>0</v>
      </c>
      <c r="AC23" s="256"/>
      <c r="AD23" s="256"/>
      <c r="AE23" s="413"/>
      <c r="AF23" s="413"/>
      <c r="AG23" s="256">
        <f t="shared" ref="AG23:AG35" si="8">AE23*AF23</f>
        <v>0</v>
      </c>
      <c r="AH23" s="413"/>
      <c r="AI23" s="413"/>
      <c r="AJ23" s="256">
        <f t="shared" ref="AJ23:AJ35" si="9">AH23*AI23</f>
        <v>0</v>
      </c>
      <c r="AK23" s="255"/>
      <c r="AL23" s="255">
        <f t="shared" si="5"/>
        <v>50000</v>
      </c>
      <c r="AM23" s="409"/>
      <c r="AN23" s="272">
        <f>AL23</f>
        <v>50000</v>
      </c>
      <c r="AO23" s="272"/>
      <c r="AP23" s="272"/>
      <c r="AQ23" s="272"/>
      <c r="AR23" s="258">
        <f t="shared" si="4"/>
        <v>0</v>
      </c>
    </row>
    <row r="24" spans="1:46" ht="21" customHeight="1" x14ac:dyDescent="0.25">
      <c r="A24" s="979"/>
      <c r="B24" s="972">
        <v>6.5</v>
      </c>
      <c r="C24" s="925" t="s">
        <v>346</v>
      </c>
      <c r="D24" s="265" t="s">
        <v>139</v>
      </c>
      <c r="E24" s="265" t="s">
        <v>347</v>
      </c>
      <c r="F24" s="249"/>
      <c r="G24" s="266"/>
      <c r="H24" s="267"/>
      <c r="I24" s="267"/>
      <c r="J24" s="253">
        <f t="shared" si="6"/>
        <v>0</v>
      </c>
      <c r="K24" s="268"/>
      <c r="L24" s="268"/>
      <c r="M24" s="268"/>
      <c r="N24" s="268"/>
      <c r="O24" s="268"/>
      <c r="P24" s="268"/>
      <c r="Q24" s="268"/>
      <c r="R24" s="268"/>
      <c r="S24" s="254">
        <v>35000</v>
      </c>
      <c r="T24" s="269"/>
      <c r="U24" s="269"/>
      <c r="V24" s="255">
        <f t="shared" si="7"/>
        <v>0</v>
      </c>
      <c r="W24" s="270"/>
      <c r="X24" s="270"/>
      <c r="Y24" s="255">
        <f t="shared" ref="Y24:Y35" si="10">W24*X24</f>
        <v>0</v>
      </c>
      <c r="Z24" s="271"/>
      <c r="AA24" s="271"/>
      <c r="AB24" s="256">
        <f t="shared" si="3"/>
        <v>0</v>
      </c>
      <c r="AC24" s="256"/>
      <c r="AD24" s="256">
        <v>25000</v>
      </c>
      <c r="AE24" s="413"/>
      <c r="AF24" s="413"/>
      <c r="AG24" s="256">
        <f t="shared" si="8"/>
        <v>0</v>
      </c>
      <c r="AH24" s="413"/>
      <c r="AI24" s="413"/>
      <c r="AJ24" s="256">
        <f t="shared" si="9"/>
        <v>0</v>
      </c>
      <c r="AK24" s="255">
        <v>5000</v>
      </c>
      <c r="AL24" s="255">
        <f t="shared" si="5"/>
        <v>65000</v>
      </c>
      <c r="AM24" s="409">
        <v>5000</v>
      </c>
      <c r="AN24" s="272"/>
      <c r="AO24" s="272"/>
      <c r="AP24" s="272">
        <v>60000</v>
      </c>
      <c r="AQ24" s="272"/>
      <c r="AR24" s="258">
        <f t="shared" si="4"/>
        <v>0</v>
      </c>
    </row>
    <row r="25" spans="1:46" ht="29.25" customHeight="1" x14ac:dyDescent="0.25">
      <c r="A25" s="979"/>
      <c r="B25" s="972"/>
      <c r="C25" s="925"/>
      <c r="D25" s="265" t="s">
        <v>140</v>
      </c>
      <c r="E25" s="265" t="s">
        <v>348</v>
      </c>
      <c r="F25" s="249"/>
      <c r="G25" s="266"/>
      <c r="H25" s="267"/>
      <c r="I25" s="267"/>
      <c r="J25" s="253">
        <f t="shared" si="6"/>
        <v>0</v>
      </c>
      <c r="K25" s="268"/>
      <c r="L25" s="268"/>
      <c r="M25" s="268"/>
      <c r="N25" s="268"/>
      <c r="O25" s="268"/>
      <c r="P25" s="268"/>
      <c r="Q25" s="268"/>
      <c r="R25" s="268"/>
      <c r="S25" s="254">
        <f t="shared" ref="S25:S35" si="11">(K25*L25*N25)+(K25*L25*M25*O25)+(K25*L25*M25*P25)+(K25*M25*Q25)+(K25*L25*R25)</f>
        <v>0</v>
      </c>
      <c r="T25" s="269">
        <f>10*10</f>
        <v>100</v>
      </c>
      <c r="U25" s="269">
        <v>350</v>
      </c>
      <c r="V25" s="255">
        <f t="shared" si="7"/>
        <v>35000</v>
      </c>
      <c r="W25" s="270">
        <f>10*30</f>
        <v>300</v>
      </c>
      <c r="X25" s="270">
        <v>1200</v>
      </c>
      <c r="Y25" s="255">
        <f t="shared" si="10"/>
        <v>360000</v>
      </c>
      <c r="Z25" s="271"/>
      <c r="AA25" s="271"/>
      <c r="AB25" s="256">
        <f t="shared" si="3"/>
        <v>0</v>
      </c>
      <c r="AC25" s="256"/>
      <c r="AD25" s="256"/>
      <c r="AE25" s="413"/>
      <c r="AF25" s="413"/>
      <c r="AG25" s="256">
        <f t="shared" si="8"/>
        <v>0</v>
      </c>
      <c r="AH25" s="594"/>
      <c r="AI25" s="594"/>
      <c r="AJ25" s="256">
        <f t="shared" si="9"/>
        <v>0</v>
      </c>
      <c r="AK25" s="255">
        <v>50000</v>
      </c>
      <c r="AL25" s="255">
        <f t="shared" si="5"/>
        <v>445000</v>
      </c>
      <c r="AM25" s="409">
        <v>50000</v>
      </c>
      <c r="AN25" s="272"/>
      <c r="AO25" s="272"/>
      <c r="AP25" s="272"/>
      <c r="AQ25" s="272"/>
      <c r="AR25" s="258">
        <f t="shared" si="4"/>
        <v>395000</v>
      </c>
    </row>
    <row r="26" spans="1:46" ht="15.75" customHeight="1" x14ac:dyDescent="0.25">
      <c r="A26" s="979"/>
      <c r="B26" s="972"/>
      <c r="C26" s="925"/>
      <c r="D26" s="265" t="s">
        <v>141</v>
      </c>
      <c r="E26" s="265" t="s">
        <v>349</v>
      </c>
      <c r="F26" s="249"/>
      <c r="G26" s="266"/>
      <c r="H26" s="267"/>
      <c r="I26" s="267"/>
      <c r="J26" s="253">
        <f t="shared" si="6"/>
        <v>0</v>
      </c>
      <c r="K26" s="268"/>
      <c r="L26" s="268"/>
      <c r="M26" s="268"/>
      <c r="N26" s="268"/>
      <c r="O26" s="268"/>
      <c r="P26" s="268"/>
      <c r="Q26" s="268"/>
      <c r="R26" s="268"/>
      <c r="S26" s="254">
        <f t="shared" si="11"/>
        <v>0</v>
      </c>
      <c r="T26" s="269"/>
      <c r="U26" s="269"/>
      <c r="V26" s="255">
        <f t="shared" si="7"/>
        <v>0</v>
      </c>
      <c r="W26" s="270"/>
      <c r="X26" s="270"/>
      <c r="Y26" s="255">
        <f t="shared" si="10"/>
        <v>0</v>
      </c>
      <c r="Z26" s="271"/>
      <c r="AA26" s="271"/>
      <c r="AB26" s="256">
        <f t="shared" si="3"/>
        <v>0</v>
      </c>
      <c r="AC26" s="256"/>
      <c r="AD26" s="256"/>
      <c r="AE26" s="413"/>
      <c r="AF26" s="413"/>
      <c r="AG26" s="256">
        <f t="shared" si="8"/>
        <v>0</v>
      </c>
      <c r="AH26" s="594"/>
      <c r="AI26" s="594"/>
      <c r="AJ26" s="256">
        <f t="shared" si="9"/>
        <v>0</v>
      </c>
      <c r="AK26" s="255">
        <v>30000</v>
      </c>
      <c r="AL26" s="255">
        <f t="shared" si="5"/>
        <v>30000</v>
      </c>
      <c r="AM26" s="409">
        <v>30000</v>
      </c>
      <c r="AN26" s="272"/>
      <c r="AO26" s="272"/>
      <c r="AP26" s="272"/>
      <c r="AQ26" s="272"/>
      <c r="AR26" s="258">
        <f t="shared" si="4"/>
        <v>0</v>
      </c>
    </row>
    <row r="27" spans="1:46" ht="25.5" x14ac:dyDescent="0.25">
      <c r="A27" s="979"/>
      <c r="B27" s="972"/>
      <c r="C27" s="925"/>
      <c r="D27" s="265" t="s">
        <v>142</v>
      </c>
      <c r="E27" s="265" t="s">
        <v>350</v>
      </c>
      <c r="F27" s="249"/>
      <c r="G27" s="266"/>
      <c r="H27" s="267"/>
      <c r="I27" s="267"/>
      <c r="J27" s="253">
        <f t="shared" si="6"/>
        <v>0</v>
      </c>
      <c r="K27" s="268"/>
      <c r="L27" s="268"/>
      <c r="M27" s="268"/>
      <c r="N27" s="268"/>
      <c r="O27" s="268"/>
      <c r="P27" s="268"/>
      <c r="Q27" s="268"/>
      <c r="R27" s="268"/>
      <c r="S27" s="254">
        <f t="shared" si="11"/>
        <v>0</v>
      </c>
      <c r="T27" s="269">
        <v>80</v>
      </c>
      <c r="U27" s="269">
        <v>350</v>
      </c>
      <c r="V27" s="255">
        <f t="shared" si="7"/>
        <v>28000</v>
      </c>
      <c r="W27" s="270">
        <f>15*10</f>
        <v>150</v>
      </c>
      <c r="X27" s="270">
        <v>1200</v>
      </c>
      <c r="Y27" s="255">
        <f t="shared" si="10"/>
        <v>180000</v>
      </c>
      <c r="Z27" s="271"/>
      <c r="AA27" s="271"/>
      <c r="AB27" s="256">
        <f t="shared" si="3"/>
        <v>0</v>
      </c>
      <c r="AC27" s="256"/>
      <c r="AD27" s="256"/>
      <c r="AE27" s="413"/>
      <c r="AF27" s="413"/>
      <c r="AG27" s="256">
        <f t="shared" si="8"/>
        <v>0</v>
      </c>
      <c r="AH27" s="413"/>
      <c r="AI27" s="413"/>
      <c r="AJ27" s="256">
        <f t="shared" si="9"/>
        <v>0</v>
      </c>
      <c r="AK27" s="255">
        <v>5000</v>
      </c>
      <c r="AL27" s="255">
        <f t="shared" si="5"/>
        <v>213000</v>
      </c>
      <c r="AM27" s="409">
        <v>5000</v>
      </c>
      <c r="AN27" s="272"/>
      <c r="AO27" s="272"/>
      <c r="AP27" s="272"/>
      <c r="AQ27" s="272"/>
      <c r="AR27" s="258">
        <f t="shared" si="4"/>
        <v>208000</v>
      </c>
    </row>
    <row r="28" spans="1:46" ht="41.25" customHeight="1" x14ac:dyDescent="0.25">
      <c r="A28" s="979"/>
      <c r="B28" s="972">
        <v>6.6</v>
      </c>
      <c r="C28" s="925" t="s">
        <v>580</v>
      </c>
      <c r="D28" s="265" t="s">
        <v>143</v>
      </c>
      <c r="E28" s="265" t="s">
        <v>579</v>
      </c>
      <c r="F28" s="249"/>
      <c r="G28" s="266"/>
      <c r="H28" s="267"/>
      <c r="I28" s="267"/>
      <c r="J28" s="253">
        <f t="shared" si="6"/>
        <v>0</v>
      </c>
      <c r="K28" s="268"/>
      <c r="L28" s="268"/>
      <c r="M28" s="268"/>
      <c r="N28" s="268"/>
      <c r="O28" s="268"/>
      <c r="P28" s="268"/>
      <c r="Q28" s="268"/>
      <c r="R28" s="268"/>
      <c r="S28" s="254">
        <f t="shared" si="11"/>
        <v>0</v>
      </c>
      <c r="T28" s="269">
        <v>300</v>
      </c>
      <c r="U28" s="269">
        <v>350</v>
      </c>
      <c r="V28" s="255">
        <f t="shared" si="7"/>
        <v>105000</v>
      </c>
      <c r="W28" s="270">
        <v>200</v>
      </c>
      <c r="X28" s="270">
        <v>1200</v>
      </c>
      <c r="Y28" s="255">
        <f t="shared" si="10"/>
        <v>240000</v>
      </c>
      <c r="Z28" s="271"/>
      <c r="AA28" s="271"/>
      <c r="AB28" s="256">
        <f t="shared" si="3"/>
        <v>0</v>
      </c>
      <c r="AC28" s="256"/>
      <c r="AD28" s="256"/>
      <c r="AE28" s="413"/>
      <c r="AF28" s="413"/>
      <c r="AG28" s="256">
        <f t="shared" si="8"/>
        <v>0</v>
      </c>
      <c r="AH28" s="413"/>
      <c r="AI28" s="413"/>
      <c r="AJ28" s="256">
        <f t="shared" si="9"/>
        <v>0</v>
      </c>
      <c r="AK28" s="255">
        <v>3000</v>
      </c>
      <c r="AL28" s="255">
        <f t="shared" si="5"/>
        <v>348000</v>
      </c>
      <c r="AM28" s="409"/>
      <c r="AN28" s="272"/>
      <c r="AO28" s="272"/>
      <c r="AP28" s="272"/>
      <c r="AQ28" s="272"/>
      <c r="AR28" s="258">
        <f t="shared" si="4"/>
        <v>348000</v>
      </c>
    </row>
    <row r="29" spans="1:46" ht="53.25" customHeight="1" x14ac:dyDescent="0.25">
      <c r="A29" s="979"/>
      <c r="B29" s="972"/>
      <c r="C29" s="925"/>
      <c r="D29" s="265" t="s">
        <v>144</v>
      </c>
      <c r="E29" s="265" t="s">
        <v>351</v>
      </c>
      <c r="F29" s="249"/>
      <c r="G29" s="266"/>
      <c r="H29" s="267"/>
      <c r="I29" s="267"/>
      <c r="J29" s="253">
        <f t="shared" si="6"/>
        <v>0</v>
      </c>
      <c r="K29" s="268">
        <v>4</v>
      </c>
      <c r="L29" s="268">
        <v>3</v>
      </c>
      <c r="M29" s="268">
        <v>20</v>
      </c>
      <c r="N29" s="268">
        <v>300</v>
      </c>
      <c r="O29" s="268">
        <v>25</v>
      </c>
      <c r="P29" s="268"/>
      <c r="Q29" s="268">
        <v>20</v>
      </c>
      <c r="R29" s="268"/>
      <c r="S29" s="254">
        <f t="shared" si="11"/>
        <v>11200</v>
      </c>
      <c r="T29" s="269"/>
      <c r="U29" s="269"/>
      <c r="V29" s="255">
        <f t="shared" si="7"/>
        <v>0</v>
      </c>
      <c r="W29" s="270"/>
      <c r="X29" s="270"/>
      <c r="Y29" s="255">
        <f t="shared" si="10"/>
        <v>0</v>
      </c>
      <c r="Z29" s="271"/>
      <c r="AA29" s="271"/>
      <c r="AB29" s="256">
        <f t="shared" si="3"/>
        <v>0</v>
      </c>
      <c r="AC29" s="256"/>
      <c r="AD29" s="256"/>
      <c r="AE29" s="413"/>
      <c r="AF29" s="413"/>
      <c r="AG29" s="256">
        <f t="shared" si="8"/>
        <v>0</v>
      </c>
      <c r="AH29" s="413"/>
      <c r="AI29" s="413"/>
      <c r="AJ29" s="256">
        <f t="shared" si="9"/>
        <v>0</v>
      </c>
      <c r="AK29" s="255"/>
      <c r="AL29" s="255">
        <f t="shared" si="5"/>
        <v>11200</v>
      </c>
      <c r="AM29" s="409"/>
      <c r="AN29" s="272"/>
      <c r="AO29" s="272"/>
      <c r="AP29" s="272"/>
      <c r="AQ29" s="272"/>
      <c r="AR29" s="258">
        <f t="shared" si="4"/>
        <v>11200</v>
      </c>
    </row>
    <row r="30" spans="1:46" ht="25.5" customHeight="1" x14ac:dyDescent="0.25">
      <c r="A30" s="979"/>
      <c r="B30" s="972">
        <v>6.7</v>
      </c>
      <c r="C30" s="925" t="s">
        <v>353</v>
      </c>
      <c r="D30" s="265" t="s">
        <v>145</v>
      </c>
      <c r="E30" s="265" t="s">
        <v>352</v>
      </c>
      <c r="F30" s="249"/>
      <c r="G30" s="266"/>
      <c r="H30" s="267"/>
      <c r="I30" s="267"/>
      <c r="J30" s="253">
        <f t="shared" si="6"/>
        <v>0</v>
      </c>
      <c r="K30" s="268"/>
      <c r="L30" s="268"/>
      <c r="M30" s="268"/>
      <c r="N30" s="268"/>
      <c r="O30" s="268"/>
      <c r="P30" s="268"/>
      <c r="Q30" s="268"/>
      <c r="R30" s="268"/>
      <c r="S30" s="254">
        <f t="shared" si="11"/>
        <v>0</v>
      </c>
      <c r="T30" s="269"/>
      <c r="U30" s="269"/>
      <c r="V30" s="255">
        <f t="shared" si="7"/>
        <v>0</v>
      </c>
      <c r="W30" s="270">
        <v>100</v>
      </c>
      <c r="X30" s="270">
        <v>1200</v>
      </c>
      <c r="Y30" s="255">
        <f t="shared" si="10"/>
        <v>120000</v>
      </c>
      <c r="Z30" s="271"/>
      <c r="AA30" s="271"/>
      <c r="AB30" s="256">
        <f t="shared" si="3"/>
        <v>0</v>
      </c>
      <c r="AC30" s="256"/>
      <c r="AD30" s="256"/>
      <c r="AE30" s="413"/>
      <c r="AF30" s="413"/>
      <c r="AG30" s="256">
        <f t="shared" si="8"/>
        <v>0</v>
      </c>
      <c r="AH30" s="413"/>
      <c r="AI30" s="413"/>
      <c r="AJ30" s="256">
        <f t="shared" si="9"/>
        <v>0</v>
      </c>
      <c r="AK30" s="255">
        <v>10000</v>
      </c>
      <c r="AL30" s="255">
        <f t="shared" si="5"/>
        <v>130000</v>
      </c>
      <c r="AM30" s="409"/>
      <c r="AN30" s="272"/>
      <c r="AO30" s="272"/>
      <c r="AP30" s="272"/>
      <c r="AQ30" s="272"/>
      <c r="AR30" s="258">
        <f t="shared" si="4"/>
        <v>130000</v>
      </c>
    </row>
    <row r="31" spans="1:46" ht="40.5" customHeight="1" x14ac:dyDescent="0.25">
      <c r="A31" s="979"/>
      <c r="B31" s="972"/>
      <c r="C31" s="925"/>
      <c r="D31" s="265" t="s">
        <v>146</v>
      </c>
      <c r="E31" s="265" t="s">
        <v>355</v>
      </c>
      <c r="F31" s="814" t="s">
        <v>619</v>
      </c>
      <c r="G31" s="266"/>
      <c r="H31" s="267"/>
      <c r="I31" s="267"/>
      <c r="J31" s="253">
        <f t="shared" si="6"/>
        <v>0</v>
      </c>
      <c r="K31" s="268"/>
      <c r="L31" s="268"/>
      <c r="M31" s="268"/>
      <c r="N31" s="268"/>
      <c r="O31" s="268"/>
      <c r="P31" s="268"/>
      <c r="Q31" s="268"/>
      <c r="R31" s="268"/>
      <c r="S31" s="254">
        <f t="shared" si="11"/>
        <v>0</v>
      </c>
      <c r="T31" s="269"/>
      <c r="U31" s="269"/>
      <c r="V31" s="255">
        <f t="shared" si="7"/>
        <v>0</v>
      </c>
      <c r="W31" s="270"/>
      <c r="X31" s="270"/>
      <c r="Y31" s="255">
        <f t="shared" si="10"/>
        <v>0</v>
      </c>
      <c r="Z31" s="271"/>
      <c r="AA31" s="271"/>
      <c r="AB31" s="256">
        <f t="shared" si="3"/>
        <v>0</v>
      </c>
      <c r="AC31" s="256"/>
      <c r="AD31" s="256"/>
      <c r="AE31" s="413"/>
      <c r="AF31" s="413"/>
      <c r="AG31" s="256">
        <f t="shared" si="8"/>
        <v>0</v>
      </c>
      <c r="AH31" s="413"/>
      <c r="AI31" s="413"/>
      <c r="AJ31" s="256">
        <f t="shared" si="9"/>
        <v>0</v>
      </c>
      <c r="AK31" s="255">
        <v>8000</v>
      </c>
      <c r="AL31" s="255">
        <f t="shared" si="5"/>
        <v>8000</v>
      </c>
      <c r="AM31" s="409"/>
      <c r="AN31" s="272"/>
      <c r="AO31" s="272"/>
      <c r="AP31" s="272"/>
      <c r="AQ31" s="272"/>
      <c r="AR31" s="258">
        <f t="shared" si="4"/>
        <v>8000</v>
      </c>
    </row>
    <row r="32" spans="1:46" ht="42.75" customHeight="1" x14ac:dyDescent="0.25">
      <c r="A32" s="979"/>
      <c r="B32" s="972">
        <v>6.8</v>
      </c>
      <c r="C32" s="967" t="s">
        <v>354</v>
      </c>
      <c r="D32" s="265" t="s">
        <v>101</v>
      </c>
      <c r="E32" s="265" t="s">
        <v>356</v>
      </c>
      <c r="F32" s="249" t="s">
        <v>102</v>
      </c>
      <c r="G32" s="266"/>
      <c r="H32" s="267"/>
      <c r="I32" s="267"/>
      <c r="J32" s="253">
        <f t="shared" si="6"/>
        <v>0</v>
      </c>
      <c r="K32" s="268"/>
      <c r="L32" s="268"/>
      <c r="M32" s="268"/>
      <c r="N32" s="268"/>
      <c r="O32" s="268"/>
      <c r="P32" s="268"/>
      <c r="Q32" s="268"/>
      <c r="R32" s="268"/>
      <c r="S32" s="254">
        <f t="shared" si="11"/>
        <v>0</v>
      </c>
      <c r="T32" s="269"/>
      <c r="U32" s="269"/>
      <c r="V32" s="255">
        <f t="shared" si="7"/>
        <v>0</v>
      </c>
      <c r="W32" s="270"/>
      <c r="X32" s="270"/>
      <c r="Y32" s="255">
        <f t="shared" si="10"/>
        <v>0</v>
      </c>
      <c r="Z32" s="271"/>
      <c r="AA32" s="271"/>
      <c r="AB32" s="256">
        <v>20000</v>
      </c>
      <c r="AC32" s="256"/>
      <c r="AD32" s="256">
        <v>288000</v>
      </c>
      <c r="AE32" s="413"/>
      <c r="AF32" s="413"/>
      <c r="AG32" s="256">
        <f t="shared" si="8"/>
        <v>0</v>
      </c>
      <c r="AH32" s="413"/>
      <c r="AI32" s="413"/>
      <c r="AJ32" s="256">
        <f t="shared" si="9"/>
        <v>0</v>
      </c>
      <c r="AK32" s="255"/>
      <c r="AL32" s="255">
        <f t="shared" si="5"/>
        <v>308000</v>
      </c>
      <c r="AM32" s="409">
        <v>20000</v>
      </c>
      <c r="AN32" s="272"/>
      <c r="AO32" s="272"/>
      <c r="AP32" s="272">
        <f>AL32-AM32</f>
        <v>288000</v>
      </c>
      <c r="AQ32" s="272"/>
      <c r="AR32" s="258">
        <f t="shared" si="4"/>
        <v>0</v>
      </c>
    </row>
    <row r="33" spans="1:45" ht="40.5" customHeight="1" x14ac:dyDescent="0.25">
      <c r="A33" s="979"/>
      <c r="B33" s="972"/>
      <c r="C33" s="967"/>
      <c r="D33" s="265" t="s">
        <v>103</v>
      </c>
      <c r="E33" s="265" t="s">
        <v>357</v>
      </c>
      <c r="F33" s="249"/>
      <c r="G33" s="266"/>
      <c r="H33" s="267"/>
      <c r="I33" s="267"/>
      <c r="J33" s="253">
        <f t="shared" si="6"/>
        <v>0</v>
      </c>
      <c r="K33" s="268">
        <v>20</v>
      </c>
      <c r="L33" s="268">
        <v>3</v>
      </c>
      <c r="M33" s="268">
        <v>25</v>
      </c>
      <c r="N33" s="268">
        <v>300</v>
      </c>
      <c r="O33" s="268">
        <v>25</v>
      </c>
      <c r="P33" s="268">
        <v>30</v>
      </c>
      <c r="Q33" s="268">
        <v>20</v>
      </c>
      <c r="R33" s="268"/>
      <c r="S33" s="254">
        <f t="shared" si="11"/>
        <v>110500</v>
      </c>
      <c r="T33" s="269">
        <f>(20*3)*2 +3</f>
        <v>123</v>
      </c>
      <c r="U33" s="269">
        <v>350</v>
      </c>
      <c r="V33" s="255">
        <f t="shared" si="7"/>
        <v>43050</v>
      </c>
      <c r="W33" s="270"/>
      <c r="X33" s="270"/>
      <c r="Y33" s="255">
        <f t="shared" si="10"/>
        <v>0</v>
      </c>
      <c r="Z33" s="271"/>
      <c r="AA33" s="271"/>
      <c r="AB33" s="256">
        <f t="shared" si="3"/>
        <v>0</v>
      </c>
      <c r="AC33" s="256"/>
      <c r="AD33" s="256"/>
      <c r="AE33" s="413"/>
      <c r="AF33" s="413"/>
      <c r="AG33" s="256">
        <f t="shared" si="8"/>
        <v>0</v>
      </c>
      <c r="AH33" s="413"/>
      <c r="AI33" s="413"/>
      <c r="AJ33" s="256">
        <f t="shared" si="9"/>
        <v>0</v>
      </c>
      <c r="AK33" s="255">
        <v>5000</v>
      </c>
      <c r="AL33" s="255">
        <f t="shared" si="5"/>
        <v>158550</v>
      </c>
      <c r="AM33" s="409"/>
      <c r="AN33" s="272"/>
      <c r="AO33" s="272"/>
      <c r="AP33" s="272"/>
      <c r="AQ33" s="272"/>
      <c r="AR33" s="258">
        <f t="shared" si="4"/>
        <v>158550</v>
      </c>
    </row>
    <row r="34" spans="1:45" ht="42" customHeight="1" x14ac:dyDescent="0.25">
      <c r="A34" s="979"/>
      <c r="B34" s="972"/>
      <c r="C34" s="967"/>
      <c r="D34" s="265" t="s">
        <v>104</v>
      </c>
      <c r="E34" s="265" t="s">
        <v>358</v>
      </c>
      <c r="F34" s="249"/>
      <c r="G34" s="266"/>
      <c r="H34" s="267"/>
      <c r="I34" s="267"/>
      <c r="J34" s="253">
        <f t="shared" si="6"/>
        <v>0</v>
      </c>
      <c r="K34" s="268"/>
      <c r="L34" s="268"/>
      <c r="M34" s="268"/>
      <c r="N34" s="268"/>
      <c r="O34" s="268"/>
      <c r="P34" s="268"/>
      <c r="Q34" s="268"/>
      <c r="R34" s="268"/>
      <c r="S34" s="254">
        <f t="shared" si="11"/>
        <v>0</v>
      </c>
      <c r="T34" s="269"/>
      <c r="U34" s="269"/>
      <c r="V34" s="255">
        <f t="shared" si="7"/>
        <v>0</v>
      </c>
      <c r="W34" s="270"/>
      <c r="X34" s="270"/>
      <c r="Y34" s="255">
        <f t="shared" si="10"/>
        <v>0</v>
      </c>
      <c r="Z34" s="271"/>
      <c r="AA34" s="271"/>
      <c r="AB34" s="256">
        <f t="shared" si="3"/>
        <v>0</v>
      </c>
      <c r="AC34" s="256"/>
      <c r="AD34" s="256"/>
      <c r="AE34" s="413"/>
      <c r="AF34" s="413"/>
      <c r="AG34" s="256">
        <f t="shared" si="8"/>
        <v>0</v>
      </c>
      <c r="AH34" s="413"/>
      <c r="AI34" s="413"/>
      <c r="AJ34" s="256">
        <f t="shared" si="9"/>
        <v>0</v>
      </c>
      <c r="AK34" s="255">
        <v>30000</v>
      </c>
      <c r="AL34" s="255">
        <f t="shared" si="5"/>
        <v>30000</v>
      </c>
      <c r="AM34" s="409">
        <v>30000</v>
      </c>
      <c r="AN34" s="272"/>
      <c r="AO34" s="272"/>
      <c r="AP34" s="272"/>
      <c r="AQ34" s="272"/>
      <c r="AR34" s="258">
        <f t="shared" si="4"/>
        <v>0</v>
      </c>
    </row>
    <row r="35" spans="1:45" ht="51" x14ac:dyDescent="0.25">
      <c r="A35" s="969"/>
      <c r="B35" s="972"/>
      <c r="C35" s="967"/>
      <c r="D35" s="265" t="s">
        <v>105</v>
      </c>
      <c r="E35" s="265" t="s">
        <v>359</v>
      </c>
      <c r="F35" s="249"/>
      <c r="G35" s="266"/>
      <c r="H35" s="267"/>
      <c r="I35" s="267"/>
      <c r="J35" s="253">
        <f t="shared" si="6"/>
        <v>0</v>
      </c>
      <c r="K35" s="268">
        <v>6</v>
      </c>
      <c r="L35" s="268">
        <v>3</v>
      </c>
      <c r="M35" s="268">
        <v>25</v>
      </c>
      <c r="N35" s="268">
        <v>300</v>
      </c>
      <c r="O35" s="268">
        <v>25</v>
      </c>
      <c r="P35" s="268">
        <v>30</v>
      </c>
      <c r="Q35" s="268">
        <v>20</v>
      </c>
      <c r="R35" s="268"/>
      <c r="S35" s="254">
        <f t="shared" si="11"/>
        <v>33150</v>
      </c>
      <c r="T35" s="269"/>
      <c r="U35" s="269"/>
      <c r="V35" s="255">
        <f t="shared" si="7"/>
        <v>0</v>
      </c>
      <c r="W35" s="270"/>
      <c r="X35" s="270"/>
      <c r="Y35" s="255">
        <f t="shared" si="10"/>
        <v>0</v>
      </c>
      <c r="Z35" s="271"/>
      <c r="AA35" s="271"/>
      <c r="AB35" s="256">
        <f t="shared" si="3"/>
        <v>0</v>
      </c>
      <c r="AC35" s="256"/>
      <c r="AD35" s="256"/>
      <c r="AE35" s="413"/>
      <c r="AF35" s="413"/>
      <c r="AG35" s="256">
        <f t="shared" si="8"/>
        <v>0</v>
      </c>
      <c r="AH35" s="413"/>
      <c r="AI35" s="413"/>
      <c r="AJ35" s="256">
        <f t="shared" si="9"/>
        <v>0</v>
      </c>
      <c r="AK35" s="255">
        <v>3000</v>
      </c>
      <c r="AL35" s="255">
        <f t="shared" si="5"/>
        <v>36150</v>
      </c>
      <c r="AM35" s="409"/>
      <c r="AN35" s="272"/>
      <c r="AO35" s="272"/>
      <c r="AP35" s="272"/>
      <c r="AQ35" s="272"/>
      <c r="AR35" s="258">
        <f t="shared" si="4"/>
        <v>36150</v>
      </c>
    </row>
    <row r="36" spans="1:45" ht="38.25" customHeight="1" x14ac:dyDescent="0.25">
      <c r="A36" s="292"/>
      <c r="B36" s="205">
        <v>6.9</v>
      </c>
      <c r="C36" s="265"/>
      <c r="D36" s="265" t="s">
        <v>147</v>
      </c>
      <c r="E36" s="265" t="s">
        <v>360</v>
      </c>
      <c r="F36" s="249"/>
      <c r="G36" s="266"/>
      <c r="H36" s="267"/>
      <c r="I36" s="267"/>
      <c r="J36" s="253"/>
      <c r="K36" s="268"/>
      <c r="L36" s="268"/>
      <c r="M36" s="268"/>
      <c r="N36" s="268"/>
      <c r="O36" s="268"/>
      <c r="P36" s="268"/>
      <c r="Q36" s="268"/>
      <c r="R36" s="268"/>
      <c r="S36" s="254"/>
      <c r="T36" s="269"/>
      <c r="U36" s="269"/>
      <c r="V36" s="255"/>
      <c r="W36" s="270"/>
      <c r="X36" s="270"/>
      <c r="Y36" s="255">
        <v>200000</v>
      </c>
      <c r="Z36" s="271"/>
      <c r="AA36" s="271"/>
      <c r="AB36" s="256"/>
      <c r="AC36" s="256"/>
      <c r="AD36" s="256">
        <v>150000</v>
      </c>
      <c r="AE36" s="413"/>
      <c r="AF36" s="413"/>
      <c r="AG36" s="256"/>
      <c r="AH36" s="413"/>
      <c r="AI36" s="413"/>
      <c r="AJ36" s="256"/>
      <c r="AK36" s="255"/>
      <c r="AL36" s="255">
        <f>J36+S36+V36+Y36+AB36+AG36+AJ36+AK36+AC36+AD36</f>
        <v>350000</v>
      </c>
      <c r="AM36" s="409"/>
      <c r="AN36" s="272">
        <v>350000</v>
      </c>
      <c r="AO36" s="272"/>
      <c r="AP36" s="272"/>
      <c r="AQ36" s="272"/>
      <c r="AR36" s="258">
        <f t="shared" si="4"/>
        <v>0</v>
      </c>
    </row>
    <row r="37" spans="1:45" ht="19.5" customHeight="1" x14ac:dyDescent="0.25">
      <c r="A37" s="424"/>
      <c r="B37" s="424"/>
      <c r="C37" s="810"/>
      <c r="D37" s="424"/>
      <c r="E37" s="602"/>
      <c r="F37" s="424"/>
      <c r="G37" s="424"/>
      <c r="H37" s="424"/>
      <c r="I37" s="424"/>
      <c r="J37" s="424"/>
      <c r="K37" s="424"/>
      <c r="L37" s="424"/>
      <c r="M37" s="424"/>
      <c r="N37" s="424"/>
      <c r="O37" s="424"/>
      <c r="P37" s="424"/>
      <c r="Q37" s="424"/>
      <c r="R37" s="424"/>
      <c r="S37" s="424">
        <f>SUM(S17:S36)</f>
        <v>192250</v>
      </c>
      <c r="T37" s="424"/>
      <c r="U37" s="424"/>
      <c r="V37" s="424">
        <f>SUM(V17:V36)</f>
        <v>228550</v>
      </c>
      <c r="W37" s="424"/>
      <c r="X37" s="424"/>
      <c r="Y37" s="424">
        <f t="shared" ref="Y37:AR37" si="12">SUM(Y17:Y36)</f>
        <v>1450000</v>
      </c>
      <c r="Z37" s="424">
        <f t="shared" si="12"/>
        <v>0</v>
      </c>
      <c r="AA37" s="424">
        <f t="shared" si="12"/>
        <v>0</v>
      </c>
      <c r="AB37" s="424">
        <f t="shared" si="12"/>
        <v>20000</v>
      </c>
      <c r="AC37" s="424">
        <f t="shared" si="12"/>
        <v>0</v>
      </c>
      <c r="AD37" s="424">
        <f t="shared" si="12"/>
        <v>463000</v>
      </c>
      <c r="AE37" s="424">
        <f t="shared" si="12"/>
        <v>0</v>
      </c>
      <c r="AF37" s="424">
        <f t="shared" si="12"/>
        <v>0</v>
      </c>
      <c r="AG37" s="424">
        <f t="shared" si="12"/>
        <v>0</v>
      </c>
      <c r="AH37" s="424">
        <f t="shared" si="12"/>
        <v>0</v>
      </c>
      <c r="AI37" s="424">
        <f t="shared" si="12"/>
        <v>0</v>
      </c>
      <c r="AJ37" s="424">
        <f t="shared" si="12"/>
        <v>0</v>
      </c>
      <c r="AK37" s="424">
        <f t="shared" si="12"/>
        <v>259000</v>
      </c>
      <c r="AL37" s="424">
        <f t="shared" si="12"/>
        <v>2612800</v>
      </c>
      <c r="AM37" s="424">
        <f t="shared" si="12"/>
        <v>250000</v>
      </c>
      <c r="AN37" s="424">
        <f t="shared" si="12"/>
        <v>700000</v>
      </c>
      <c r="AO37" s="424">
        <f t="shared" si="12"/>
        <v>0</v>
      </c>
      <c r="AP37" s="424">
        <f t="shared" si="12"/>
        <v>348000</v>
      </c>
      <c r="AQ37" s="424">
        <f t="shared" si="12"/>
        <v>0</v>
      </c>
      <c r="AR37" s="424">
        <f t="shared" si="12"/>
        <v>1314800</v>
      </c>
    </row>
    <row r="38" spans="1:45" s="245" customFormat="1" ht="21" customHeight="1" x14ac:dyDescent="0.25">
      <c r="A38" s="974" t="s">
        <v>588</v>
      </c>
      <c r="B38" s="975"/>
      <c r="C38" s="975"/>
      <c r="D38" s="975"/>
      <c r="E38" s="975"/>
      <c r="F38" s="975"/>
      <c r="G38" s="975"/>
      <c r="H38" s="975"/>
      <c r="I38" s="975"/>
      <c r="J38" s="975"/>
      <c r="K38" s="975"/>
      <c r="L38" s="975"/>
      <c r="M38" s="975"/>
      <c r="N38" s="975"/>
      <c r="O38" s="975"/>
      <c r="P38" s="975"/>
      <c r="Q38" s="975"/>
      <c r="R38" s="975"/>
      <c r="S38" s="975"/>
      <c r="T38" s="975"/>
      <c r="U38" s="975"/>
      <c r="V38" s="975"/>
      <c r="W38" s="975"/>
      <c r="X38" s="975"/>
      <c r="Y38" s="975"/>
      <c r="Z38" s="975"/>
      <c r="AA38" s="975"/>
      <c r="AB38" s="975"/>
      <c r="AC38" s="975"/>
      <c r="AD38" s="975"/>
      <c r="AE38" s="975"/>
      <c r="AF38" s="975"/>
      <c r="AG38" s="975"/>
      <c r="AH38" s="975"/>
      <c r="AI38" s="975"/>
      <c r="AJ38" s="975"/>
      <c r="AK38" s="975"/>
      <c r="AL38" s="975"/>
      <c r="AM38" s="975"/>
      <c r="AN38" s="975"/>
      <c r="AO38" s="975"/>
      <c r="AP38" s="975"/>
      <c r="AQ38" s="975"/>
      <c r="AR38" s="976"/>
      <c r="AS38" s="246"/>
    </row>
    <row r="39" spans="1:45" ht="29.25" customHeight="1" x14ac:dyDescent="0.25">
      <c r="A39" s="968">
        <v>7</v>
      </c>
      <c r="B39" s="972">
        <v>7.1</v>
      </c>
      <c r="C39" s="925" t="s">
        <v>697</v>
      </c>
      <c r="D39" s="265" t="s">
        <v>178</v>
      </c>
      <c r="E39" s="265" t="s">
        <v>559</v>
      </c>
      <c r="F39" s="249"/>
      <c r="G39" s="266"/>
      <c r="H39" s="267"/>
      <c r="I39" s="267"/>
      <c r="J39" s="253">
        <f>G39*H39*I39</f>
        <v>0</v>
      </c>
      <c r="K39" s="268"/>
      <c r="L39" s="268"/>
      <c r="M39" s="268"/>
      <c r="N39" s="268"/>
      <c r="O39" s="268"/>
      <c r="P39" s="268"/>
      <c r="Q39" s="268"/>
      <c r="R39" s="268"/>
      <c r="S39" s="254">
        <f>(K39*L39*N39)+(K39*L39*M39*O39)+(K39*L39*M39*P39)+(K39*M39*Q39)+(K39*L39*R39)</f>
        <v>0</v>
      </c>
      <c r="T39" s="269">
        <v>200</v>
      </c>
      <c r="U39" s="269">
        <v>350</v>
      </c>
      <c r="V39" s="255">
        <f>T39*U39</f>
        <v>70000</v>
      </c>
      <c r="W39" s="270">
        <v>300</v>
      </c>
      <c r="X39" s="270">
        <v>1200</v>
      </c>
      <c r="Y39" s="255">
        <f>W39*X39</f>
        <v>360000</v>
      </c>
      <c r="Z39" s="271"/>
      <c r="AA39" s="271"/>
      <c r="AB39" s="256">
        <f>Z39*AA39</f>
        <v>0</v>
      </c>
      <c r="AC39" s="256"/>
      <c r="AD39" s="256"/>
      <c r="AE39" s="413"/>
      <c r="AF39" s="413"/>
      <c r="AG39" s="256">
        <f>AE39*AF39</f>
        <v>0</v>
      </c>
      <c r="AH39" s="413"/>
      <c r="AI39" s="413"/>
      <c r="AJ39" s="256">
        <f>AH39*AI39</f>
        <v>0</v>
      </c>
      <c r="AK39" s="255">
        <v>50000</v>
      </c>
      <c r="AL39" s="255">
        <f>J39+S39+V39+Y39+AB39+AG39+AJ39+AK39+AC39+AD39</f>
        <v>480000</v>
      </c>
      <c r="AM39" s="409">
        <v>50000</v>
      </c>
      <c r="AN39" s="272"/>
      <c r="AO39" s="272"/>
      <c r="AP39" s="272"/>
      <c r="AQ39" s="272"/>
      <c r="AR39" s="258">
        <f>AL39-AM39-AN39-AO39-AP39-AQ39</f>
        <v>430000</v>
      </c>
    </row>
    <row r="40" spans="1:45" ht="30" customHeight="1" x14ac:dyDescent="0.25">
      <c r="A40" s="979"/>
      <c r="B40" s="972"/>
      <c r="C40" s="925"/>
      <c r="D40" s="265" t="s">
        <v>179</v>
      </c>
      <c r="E40" s="265" t="s">
        <v>362</v>
      </c>
      <c r="F40" s="249"/>
      <c r="G40" s="266"/>
      <c r="H40" s="267"/>
      <c r="I40" s="267"/>
      <c r="J40" s="253">
        <f>G40*H40*I40</f>
        <v>0</v>
      </c>
      <c r="K40" s="268"/>
      <c r="L40" s="268"/>
      <c r="M40" s="268"/>
      <c r="N40" s="268"/>
      <c r="O40" s="268"/>
      <c r="P40" s="268"/>
      <c r="Q40" s="268"/>
      <c r="R40" s="268"/>
      <c r="S40" s="254">
        <f>(K40*L40*N40)+(K40*L40*M40*O40)+(K40*L40*M40*P40)+(K40*M40*Q40)+(K40*L40*R40)</f>
        <v>0</v>
      </c>
      <c r="T40" s="269">
        <v>100</v>
      </c>
      <c r="U40" s="269">
        <v>350</v>
      </c>
      <c r="V40" s="255">
        <f>T40*U40</f>
        <v>35000</v>
      </c>
      <c r="W40" s="270">
        <v>200</v>
      </c>
      <c r="X40" s="270">
        <v>1200</v>
      </c>
      <c r="Y40" s="255">
        <f>W40*X40</f>
        <v>240000</v>
      </c>
      <c r="Z40" s="271"/>
      <c r="AA40" s="271"/>
      <c r="AB40" s="256">
        <f>Z40*AA40</f>
        <v>0</v>
      </c>
      <c r="AC40" s="256"/>
      <c r="AD40" s="256"/>
      <c r="AE40" s="413"/>
      <c r="AF40" s="413"/>
      <c r="AG40" s="256">
        <f>AE40*AF40</f>
        <v>0</v>
      </c>
      <c r="AH40" s="413"/>
      <c r="AI40" s="413"/>
      <c r="AJ40" s="256">
        <f>AH40*AI40</f>
        <v>0</v>
      </c>
      <c r="AK40" s="255">
        <v>50000</v>
      </c>
      <c r="AL40" s="255">
        <f>J40+S40+V40+Y40+AB40+AG40+AJ40+AK40+AC40+AD40</f>
        <v>325000</v>
      </c>
      <c r="AM40" s="409">
        <v>30000</v>
      </c>
      <c r="AN40" s="272"/>
      <c r="AO40" s="272"/>
      <c r="AP40" s="272"/>
      <c r="AQ40" s="272"/>
      <c r="AR40" s="258">
        <f>AL40-AM40-AN40-AO40-AP40-AQ40</f>
        <v>295000</v>
      </c>
    </row>
    <row r="41" spans="1:45" ht="52.5" customHeight="1" x14ac:dyDescent="0.25">
      <c r="A41" s="979"/>
      <c r="B41" s="205">
        <v>7.2</v>
      </c>
      <c r="C41" s="806" t="s">
        <v>361</v>
      </c>
      <c r="D41" s="265" t="s">
        <v>180</v>
      </c>
      <c r="E41" s="265" t="s">
        <v>363</v>
      </c>
      <c r="F41" s="249" t="s">
        <v>365</v>
      </c>
      <c r="G41" s="266"/>
      <c r="H41" s="267"/>
      <c r="I41" s="267"/>
      <c r="J41" s="253">
        <f>G41*H41*I41</f>
        <v>0</v>
      </c>
      <c r="K41" s="268"/>
      <c r="L41" s="268"/>
      <c r="M41" s="268"/>
      <c r="N41" s="268"/>
      <c r="O41" s="268"/>
      <c r="P41" s="268"/>
      <c r="Q41" s="268"/>
      <c r="R41" s="268"/>
      <c r="S41" s="254">
        <f>(K41*L41*N41)+(K41*L41*M41*O41)+(K41*L41*M41*P41)+(K41*M41*Q41)+(K41*L41*R41)</f>
        <v>0</v>
      </c>
      <c r="T41" s="269"/>
      <c r="U41" s="269"/>
      <c r="V41" s="255">
        <f>T41*U41</f>
        <v>0</v>
      </c>
      <c r="W41" s="270"/>
      <c r="X41" s="270"/>
      <c r="Y41" s="255">
        <f>W41*X41</f>
        <v>0</v>
      </c>
      <c r="Z41" s="271"/>
      <c r="AA41" s="271"/>
      <c r="AB41" s="256">
        <f>Z41*AA41</f>
        <v>0</v>
      </c>
      <c r="AC41" s="256"/>
      <c r="AD41" s="256"/>
      <c r="AE41" s="413"/>
      <c r="AF41" s="413"/>
      <c r="AG41" s="256">
        <f>AE41*AF41</f>
        <v>0</v>
      </c>
      <c r="AH41" s="413"/>
      <c r="AI41" s="413"/>
      <c r="AJ41" s="256">
        <f>AH41*AI41</f>
        <v>0</v>
      </c>
      <c r="AK41" s="255"/>
      <c r="AL41" s="255">
        <f>J41+S41+V41+Y41+AB41+AG41+AJ41+AK41+AC41+AD41</f>
        <v>0</v>
      </c>
      <c r="AM41" s="409"/>
      <c r="AN41" s="272"/>
      <c r="AO41" s="272"/>
      <c r="AP41" s="272"/>
      <c r="AQ41" s="272"/>
      <c r="AR41" s="258">
        <f>AL41-AM41-AN41-AO41-AP41-AQ41</f>
        <v>0</v>
      </c>
    </row>
    <row r="42" spans="1:45" s="508" customFormat="1" ht="127.5" x14ac:dyDescent="0.25">
      <c r="A42" s="969"/>
      <c r="B42" s="205">
        <v>7.3</v>
      </c>
      <c r="C42" s="265" t="s">
        <v>698</v>
      </c>
      <c r="D42" s="497" t="s">
        <v>181</v>
      </c>
      <c r="E42" s="502" t="s">
        <v>364</v>
      </c>
      <c r="F42" s="503"/>
      <c r="G42" s="266"/>
      <c r="H42" s="267"/>
      <c r="I42" s="267"/>
      <c r="J42" s="504">
        <f>G42*H42*I42</f>
        <v>0</v>
      </c>
      <c r="K42" s="505"/>
      <c r="L42" s="505"/>
      <c r="M42" s="505"/>
      <c r="N42" s="505"/>
      <c r="O42" s="505"/>
      <c r="P42" s="505"/>
      <c r="Q42" s="505"/>
      <c r="R42" s="505"/>
      <c r="S42" s="498"/>
      <c r="T42" s="498"/>
      <c r="U42" s="498"/>
      <c r="V42" s="499">
        <f>T42*U42</f>
        <v>0</v>
      </c>
      <c r="W42" s="500"/>
      <c r="X42" s="500"/>
      <c r="Y42" s="499">
        <f>W42*X42</f>
        <v>0</v>
      </c>
      <c r="Z42" s="500"/>
      <c r="AA42" s="500"/>
      <c r="AB42" s="499">
        <f>Z42*AA42</f>
        <v>0</v>
      </c>
      <c r="AC42" s="499"/>
      <c r="AD42" s="499"/>
      <c r="AE42" s="595"/>
      <c r="AF42" s="595"/>
      <c r="AG42" s="499">
        <f>AE42*AF42</f>
        <v>0</v>
      </c>
      <c r="AH42" s="596"/>
      <c r="AI42" s="596"/>
      <c r="AJ42" s="499">
        <f>AH42*AI42</f>
        <v>0</v>
      </c>
      <c r="AK42" s="501">
        <v>5000</v>
      </c>
      <c r="AL42" s="499">
        <f>J42+S42+V42+Y42+AB42+AG42+AJ42+AK42+AC42+AD42</f>
        <v>5000</v>
      </c>
      <c r="AM42" s="506">
        <v>5000</v>
      </c>
      <c r="AN42" s="500"/>
      <c r="AO42" s="500"/>
      <c r="AP42" s="500"/>
      <c r="AQ42" s="500"/>
      <c r="AR42" s="258">
        <f>AL42-AM42-AN42-AO42-AP42-AQ42</f>
        <v>0</v>
      </c>
      <c r="AS42" s="507"/>
    </row>
    <row r="43" spans="1:45" x14ac:dyDescent="0.25">
      <c r="A43" s="424"/>
      <c r="B43" s="424"/>
      <c r="C43" s="810"/>
      <c r="D43" s="424"/>
      <c r="E43" s="424"/>
      <c r="F43" s="424"/>
      <c r="G43" s="424"/>
      <c r="H43" s="424"/>
      <c r="I43" s="424"/>
      <c r="J43" s="424"/>
      <c r="K43" s="424">
        <f t="shared" ref="K43:AR43" si="13">SUM(K39:K42)</f>
        <v>0</v>
      </c>
      <c r="L43" s="424">
        <f t="shared" si="13"/>
        <v>0</v>
      </c>
      <c r="M43" s="424">
        <f t="shared" si="13"/>
        <v>0</v>
      </c>
      <c r="N43" s="424">
        <f t="shared" si="13"/>
        <v>0</v>
      </c>
      <c r="O43" s="424">
        <f t="shared" si="13"/>
        <v>0</v>
      </c>
      <c r="P43" s="424">
        <f t="shared" si="13"/>
        <v>0</v>
      </c>
      <c r="Q43" s="424">
        <f t="shared" si="13"/>
        <v>0</v>
      </c>
      <c r="R43" s="424">
        <f t="shared" si="13"/>
        <v>0</v>
      </c>
      <c r="S43" s="424">
        <f t="shared" si="13"/>
        <v>0</v>
      </c>
      <c r="T43" s="424"/>
      <c r="U43" s="424"/>
      <c r="V43" s="424">
        <f t="shared" si="13"/>
        <v>105000</v>
      </c>
      <c r="W43" s="424"/>
      <c r="X43" s="424"/>
      <c r="Y43" s="424">
        <f t="shared" si="13"/>
        <v>600000</v>
      </c>
      <c r="Z43" s="424">
        <f t="shared" si="13"/>
        <v>0</v>
      </c>
      <c r="AA43" s="424">
        <f t="shared" si="13"/>
        <v>0</v>
      </c>
      <c r="AB43" s="424">
        <f t="shared" si="13"/>
        <v>0</v>
      </c>
      <c r="AC43" s="424">
        <f t="shared" si="13"/>
        <v>0</v>
      </c>
      <c r="AD43" s="424">
        <f t="shared" si="13"/>
        <v>0</v>
      </c>
      <c r="AE43" s="424">
        <f t="shared" si="13"/>
        <v>0</v>
      </c>
      <c r="AF43" s="424">
        <f t="shared" si="13"/>
        <v>0</v>
      </c>
      <c r="AG43" s="424">
        <f t="shared" si="13"/>
        <v>0</v>
      </c>
      <c r="AH43" s="424">
        <f t="shared" si="13"/>
        <v>0</v>
      </c>
      <c r="AI43" s="424">
        <f t="shared" si="13"/>
        <v>0</v>
      </c>
      <c r="AJ43" s="424">
        <f t="shared" si="13"/>
        <v>0</v>
      </c>
      <c r="AK43" s="424">
        <f t="shared" si="13"/>
        <v>105000</v>
      </c>
      <c r="AL43" s="424">
        <f t="shared" si="13"/>
        <v>810000</v>
      </c>
      <c r="AM43" s="424">
        <f>SUM(AM39:AM42)</f>
        <v>85000</v>
      </c>
      <c r="AN43" s="424">
        <f t="shared" si="13"/>
        <v>0</v>
      </c>
      <c r="AO43" s="424">
        <f t="shared" si="13"/>
        <v>0</v>
      </c>
      <c r="AP43" s="424">
        <f t="shared" si="13"/>
        <v>0</v>
      </c>
      <c r="AQ43" s="424">
        <f t="shared" si="13"/>
        <v>0</v>
      </c>
      <c r="AR43" s="424">
        <f t="shared" si="13"/>
        <v>725000</v>
      </c>
    </row>
    <row r="44" spans="1:45" s="445" customFormat="1" x14ac:dyDescent="0.2">
      <c r="A44" s="438"/>
      <c r="B44" s="438"/>
      <c r="C44" s="811"/>
      <c r="D44" s="439"/>
      <c r="E44" s="603"/>
      <c r="F44" s="440"/>
      <c r="G44" s="441"/>
      <c r="H44" s="442"/>
      <c r="I44" s="442"/>
      <c r="J44" s="443">
        <f t="shared" ref="J44:S44" si="14">J15+J37+J43</f>
        <v>0</v>
      </c>
      <c r="K44" s="443">
        <f t="shared" si="14"/>
        <v>0</v>
      </c>
      <c r="L44" s="443">
        <f t="shared" si="14"/>
        <v>0</v>
      </c>
      <c r="M44" s="443">
        <f t="shared" si="14"/>
        <v>0</v>
      </c>
      <c r="N44" s="443">
        <f t="shared" si="14"/>
        <v>0</v>
      </c>
      <c r="O44" s="443">
        <f t="shared" si="14"/>
        <v>0</v>
      </c>
      <c r="P44" s="443">
        <f t="shared" si="14"/>
        <v>0</v>
      </c>
      <c r="Q44" s="443">
        <f t="shared" si="14"/>
        <v>0</v>
      </c>
      <c r="R44" s="443">
        <f t="shared" si="14"/>
        <v>0</v>
      </c>
      <c r="S44" s="443">
        <f t="shared" si="14"/>
        <v>267375</v>
      </c>
      <c r="T44" s="443"/>
      <c r="U44" s="443"/>
      <c r="V44" s="443">
        <f>V15+V37+V43</f>
        <v>661050</v>
      </c>
      <c r="W44" s="443"/>
      <c r="X44" s="443"/>
      <c r="Y44" s="443">
        <f t="shared" ref="Y44:AR44" si="15">Y15+Y37+Y43</f>
        <v>3374000</v>
      </c>
      <c r="Z44" s="443">
        <f t="shared" si="15"/>
        <v>0</v>
      </c>
      <c r="AA44" s="443">
        <f t="shared" si="15"/>
        <v>0</v>
      </c>
      <c r="AB44" s="443">
        <f t="shared" si="15"/>
        <v>20000</v>
      </c>
      <c r="AC44" s="443">
        <f t="shared" si="15"/>
        <v>0</v>
      </c>
      <c r="AD44" s="443">
        <f t="shared" si="15"/>
        <v>613000</v>
      </c>
      <c r="AE44" s="443">
        <f t="shared" si="15"/>
        <v>0</v>
      </c>
      <c r="AF44" s="443">
        <f t="shared" si="15"/>
        <v>0</v>
      </c>
      <c r="AG44" s="443">
        <f t="shared" si="15"/>
        <v>200000</v>
      </c>
      <c r="AH44" s="443">
        <f t="shared" si="15"/>
        <v>0</v>
      </c>
      <c r="AI44" s="443">
        <f t="shared" si="15"/>
        <v>0</v>
      </c>
      <c r="AJ44" s="443">
        <f t="shared" si="15"/>
        <v>0</v>
      </c>
      <c r="AK44" s="443">
        <f t="shared" si="15"/>
        <v>684000</v>
      </c>
      <c r="AL44" s="443">
        <f t="shared" si="15"/>
        <v>5819425</v>
      </c>
      <c r="AM44" s="443">
        <f t="shared" si="15"/>
        <v>405000</v>
      </c>
      <c r="AN44" s="443">
        <f t="shared" si="15"/>
        <v>1200000</v>
      </c>
      <c r="AO44" s="443">
        <f t="shared" si="15"/>
        <v>50000</v>
      </c>
      <c r="AP44" s="443">
        <f t="shared" si="15"/>
        <v>348000</v>
      </c>
      <c r="AQ44" s="443">
        <f t="shared" si="15"/>
        <v>0</v>
      </c>
      <c r="AR44" s="443">
        <f t="shared" si="15"/>
        <v>3816425</v>
      </c>
      <c r="AS44" s="444"/>
    </row>
    <row r="46" spans="1:45" x14ac:dyDescent="0.25">
      <c r="AL46" s="321">
        <f>J44+S44+V44+Y44+AB44+AD44+AG44+AK44</f>
        <v>5819425</v>
      </c>
      <c r="AM46" s="411">
        <f>AL44-AL46</f>
        <v>0</v>
      </c>
    </row>
    <row r="47" spans="1:45" ht="12.75" customHeight="1" x14ac:dyDescent="0.25"/>
  </sheetData>
  <mergeCells count="46">
    <mergeCell ref="A39:A42"/>
    <mergeCell ref="A18:A35"/>
    <mergeCell ref="B18:B20"/>
    <mergeCell ref="B39:B40"/>
    <mergeCell ref="C30:C31"/>
    <mergeCell ref="C24:C27"/>
    <mergeCell ref="B30:B31"/>
    <mergeCell ref="C18:C20"/>
    <mergeCell ref="A38:AR38"/>
    <mergeCell ref="B28:B29"/>
    <mergeCell ref="C28:C29"/>
    <mergeCell ref="B32:B35"/>
    <mergeCell ref="B2:P2"/>
    <mergeCell ref="A3:E3"/>
    <mergeCell ref="G3:J3"/>
    <mergeCell ref="K3:AB3"/>
    <mergeCell ref="C32:C35"/>
    <mergeCell ref="B22:B23"/>
    <mergeCell ref="C22:C23"/>
    <mergeCell ref="B24:B27"/>
    <mergeCell ref="C9:C12"/>
    <mergeCell ref="B9:B12"/>
    <mergeCell ref="T5:V5"/>
    <mergeCell ref="A16:AR16"/>
    <mergeCell ref="A8:AR8"/>
    <mergeCell ref="A9:A14"/>
    <mergeCell ref="C13:C14"/>
    <mergeCell ref="B13:B14"/>
    <mergeCell ref="A4:A6"/>
    <mergeCell ref="B4:C6"/>
    <mergeCell ref="D4:E6"/>
    <mergeCell ref="G4:J5"/>
    <mergeCell ref="K4:S5"/>
    <mergeCell ref="F5:F6"/>
    <mergeCell ref="AE5:AG5"/>
    <mergeCell ref="AH5:AJ5"/>
    <mergeCell ref="AM3:AR5"/>
    <mergeCell ref="W5:Y5"/>
    <mergeCell ref="C39:C40"/>
    <mergeCell ref="AC3:AJ4"/>
    <mergeCell ref="Z4:AB5"/>
    <mergeCell ref="AK3:AK6"/>
    <mergeCell ref="T4:Y4"/>
    <mergeCell ref="AC5:AC6"/>
    <mergeCell ref="AD5:AD6"/>
    <mergeCell ref="AL3:AL6"/>
  </mergeCells>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52"/>
  <sheetViews>
    <sheetView topLeftCell="A35" workbookViewId="0">
      <selection activeCell="G34" sqref="G34"/>
    </sheetView>
  </sheetViews>
  <sheetFormatPr defaultColWidth="9.140625" defaultRowHeight="16.5" customHeight="1" x14ac:dyDescent="0.2"/>
  <cols>
    <col min="1" max="1" width="6.7109375" style="23" customWidth="1"/>
    <col min="2" max="2" width="15.42578125" style="24" customWidth="1"/>
    <col min="3" max="3" width="4.7109375" style="3" customWidth="1"/>
    <col min="4" max="4" width="25.28515625" style="62" customWidth="1"/>
    <col min="5" max="5" width="6.7109375" style="40" customWidth="1"/>
    <col min="6" max="6" width="19.7109375" style="10" customWidth="1"/>
    <col min="7" max="7" width="16.7109375" style="10" customWidth="1"/>
    <col min="8" max="8" width="5.85546875" style="41" customWidth="1"/>
    <col min="9" max="9" width="7.7109375" style="11" customWidth="1"/>
    <col min="10" max="10" width="7.28515625" style="11" customWidth="1"/>
    <col min="11" max="11" width="9.7109375" style="41" customWidth="1"/>
    <col min="12" max="12" width="11.7109375" style="1" customWidth="1"/>
    <col min="13" max="13" width="9.42578125" style="1" customWidth="1"/>
    <col min="14" max="14" width="10.85546875" style="1" customWidth="1"/>
    <col min="15" max="15" width="11.85546875" style="1" customWidth="1"/>
    <col min="16" max="16" width="14.140625" style="1" customWidth="1"/>
    <col min="17" max="17" width="12.140625" style="1" customWidth="1"/>
    <col min="18" max="18" width="11.42578125" style="1" customWidth="1"/>
    <col min="19" max="19" width="12.85546875" style="1" customWidth="1"/>
    <col min="20" max="20" width="15.28515625" style="36" customWidth="1"/>
    <col min="21" max="21" width="8" style="36" customWidth="1"/>
    <col min="22" max="22" width="8.42578125" style="36" customWidth="1"/>
    <col min="23" max="23" width="9.7109375" style="36" customWidth="1"/>
    <col min="24" max="24" width="14" style="35" customWidth="1"/>
    <col min="25" max="25" width="11" style="35" customWidth="1"/>
    <col min="26" max="26" width="10.28515625" style="35" customWidth="1"/>
    <col min="27" max="27" width="9.28515625" style="35" customWidth="1"/>
    <col min="28" max="28" width="10.28515625" style="35" customWidth="1"/>
    <col min="29" max="29" width="8.28515625" style="35" customWidth="1"/>
    <col min="30" max="30" width="15.28515625" style="35" customWidth="1"/>
    <col min="31" max="31" width="15.140625" style="35" customWidth="1"/>
    <col min="32" max="32" width="7.28515625" style="35" customWidth="1"/>
    <col min="33" max="33" width="13.140625" style="35" customWidth="1"/>
    <col min="34" max="34" width="9.28515625" style="35" customWidth="1"/>
    <col min="35" max="35" width="6.85546875" style="35" customWidth="1"/>
    <col min="36" max="36" width="11" style="35" customWidth="1"/>
    <col min="37" max="37" width="10.7109375" style="35" customWidth="1"/>
    <col min="38" max="38" width="13.42578125" style="60" customWidth="1"/>
    <col min="39" max="39" width="10.42578125" style="35" customWidth="1"/>
    <col min="40" max="40" width="12.42578125" style="35" customWidth="1"/>
    <col min="41" max="43" width="15.7109375" style="35" customWidth="1"/>
    <col min="44" max="44" width="10.28515625" style="35" customWidth="1"/>
    <col min="45" max="45" width="12.28515625" style="38" customWidth="1"/>
    <col min="46" max="46" width="3.7109375" style="3" customWidth="1"/>
    <col min="47" max="47" width="10.7109375" style="35" customWidth="1"/>
    <col min="48" max="48" width="12" style="35" customWidth="1"/>
    <col min="49" max="52" width="11" style="35" customWidth="1"/>
    <col min="53" max="53" width="12.28515625" style="3" customWidth="1"/>
    <col min="54" max="54" width="2.28515625" style="45" customWidth="1"/>
    <col min="55" max="16384" width="9.140625" style="3"/>
  </cols>
  <sheetData>
    <row r="1" spans="1:54" s="45" customFormat="1" ht="16.5" customHeight="1" x14ac:dyDescent="0.2">
      <c r="A1" s="55"/>
      <c r="B1" s="57"/>
      <c r="D1" s="61"/>
      <c r="E1" s="46"/>
      <c r="F1" s="47"/>
      <c r="G1" s="47"/>
      <c r="H1" s="48"/>
      <c r="I1" s="49"/>
      <c r="J1" s="49"/>
      <c r="K1" s="48"/>
      <c r="L1" s="50"/>
      <c r="M1" s="50"/>
      <c r="N1" s="50"/>
      <c r="O1" s="50"/>
      <c r="P1" s="50"/>
      <c r="Q1" s="50"/>
      <c r="R1" s="50"/>
      <c r="S1" s="50"/>
      <c r="T1" s="51"/>
      <c r="U1" s="51"/>
      <c r="V1" s="51"/>
      <c r="W1" s="51"/>
      <c r="X1" s="52"/>
      <c r="Y1" s="52"/>
      <c r="Z1" s="52"/>
      <c r="AA1" s="52"/>
      <c r="AB1" s="52"/>
      <c r="AC1" s="52"/>
      <c r="AD1" s="52"/>
      <c r="AE1" s="52"/>
      <c r="AF1" s="52"/>
      <c r="AG1" s="52"/>
      <c r="AH1" s="52"/>
      <c r="AI1" s="52"/>
      <c r="AJ1" s="52"/>
      <c r="AK1" s="52"/>
      <c r="AL1" s="59"/>
      <c r="AM1" s="52"/>
      <c r="AN1" s="52"/>
      <c r="AO1" s="52"/>
      <c r="AP1" s="52"/>
      <c r="AQ1" s="52"/>
      <c r="AR1" s="52"/>
      <c r="AS1" s="53"/>
      <c r="AU1" s="52"/>
      <c r="AV1" s="52"/>
      <c r="AW1" s="52"/>
      <c r="AX1" s="52"/>
      <c r="AY1" s="52"/>
      <c r="AZ1" s="52"/>
    </row>
    <row r="2" spans="1:54" s="45" customFormat="1" ht="16.5" customHeight="1" thickBot="1" x14ac:dyDescent="0.25">
      <c r="A2" s="56"/>
      <c r="B2" s="1046" t="s">
        <v>366</v>
      </c>
      <c r="C2" s="1046"/>
      <c r="D2" s="1046"/>
      <c r="E2" s="1046"/>
      <c r="F2" s="1046"/>
      <c r="G2" s="1046"/>
      <c r="H2" s="1046"/>
      <c r="I2" s="1046"/>
      <c r="J2" s="1046"/>
      <c r="K2" s="1046"/>
      <c r="L2" s="1046"/>
      <c r="M2" s="1046"/>
      <c r="N2" s="1046"/>
      <c r="O2" s="1046"/>
      <c r="P2" s="1046"/>
      <c r="Q2" s="1046"/>
      <c r="R2" s="54"/>
      <c r="S2" s="54"/>
      <c r="T2" s="54"/>
      <c r="U2" s="54"/>
      <c r="V2" s="54"/>
      <c r="W2" s="54"/>
      <c r="X2" s="54"/>
      <c r="Y2" s="54"/>
      <c r="Z2" s="54"/>
      <c r="AA2" s="54"/>
      <c r="AB2" s="54"/>
      <c r="AC2" s="54"/>
      <c r="AD2" s="54"/>
      <c r="AE2" s="54"/>
      <c r="AF2" s="54"/>
      <c r="AG2" s="54"/>
      <c r="AH2" s="54"/>
      <c r="AI2" s="54"/>
      <c r="AJ2" s="54"/>
      <c r="AK2" s="54"/>
      <c r="AL2" s="54"/>
      <c r="AM2" s="52"/>
      <c r="AN2" s="52"/>
      <c r="AO2" s="52"/>
      <c r="AP2" s="52"/>
      <c r="AQ2" s="52"/>
      <c r="AR2" s="52"/>
      <c r="AS2" s="53"/>
      <c r="AU2" s="52"/>
      <c r="AV2" s="52"/>
      <c r="AW2" s="52"/>
      <c r="AX2" s="52"/>
      <c r="AY2" s="52"/>
      <c r="AZ2" s="52"/>
    </row>
    <row r="3" spans="1:54" s="65" customFormat="1" ht="39" customHeight="1" x14ac:dyDescent="0.2">
      <c r="A3" s="1047"/>
      <c r="B3" s="1048"/>
      <c r="C3" s="1048"/>
      <c r="D3" s="1048"/>
      <c r="E3" s="1048"/>
      <c r="F3" s="1049"/>
      <c r="G3" s="647"/>
      <c r="H3" s="1050" t="s">
        <v>294</v>
      </c>
      <c r="I3" s="1051"/>
      <c r="J3" s="1051"/>
      <c r="K3" s="1052"/>
      <c r="L3" s="1053" t="s">
        <v>30</v>
      </c>
      <c r="M3" s="1054"/>
      <c r="N3" s="1054"/>
      <c r="O3" s="1054"/>
      <c r="P3" s="1054"/>
      <c r="Q3" s="1054"/>
      <c r="R3" s="1054"/>
      <c r="S3" s="1054"/>
      <c r="T3" s="1054"/>
      <c r="U3" s="1054"/>
      <c r="V3" s="1054"/>
      <c r="W3" s="1054"/>
      <c r="X3" s="1054"/>
      <c r="Y3" s="1054"/>
      <c r="Z3" s="1054"/>
      <c r="AA3" s="1054"/>
      <c r="AB3" s="1054"/>
      <c r="AC3" s="1055"/>
      <c r="AD3" s="1020" t="s">
        <v>313</v>
      </c>
      <c r="AE3" s="1021"/>
      <c r="AF3" s="1021"/>
      <c r="AG3" s="1021"/>
      <c r="AH3" s="1021"/>
      <c r="AI3" s="1021"/>
      <c r="AJ3" s="1021"/>
      <c r="AK3" s="1022"/>
      <c r="AL3" s="1015" t="s">
        <v>372</v>
      </c>
      <c r="AM3" s="1015" t="s">
        <v>320</v>
      </c>
      <c r="AN3" s="981" t="s">
        <v>321</v>
      </c>
      <c r="AO3" s="981"/>
      <c r="AP3" s="981"/>
      <c r="AQ3" s="981"/>
      <c r="AR3" s="982"/>
      <c r="AS3" s="983"/>
      <c r="AU3" s="989" t="s">
        <v>373</v>
      </c>
      <c r="AV3" s="990"/>
      <c r="AW3" s="990"/>
      <c r="AX3" s="990"/>
      <c r="AY3" s="990"/>
      <c r="AZ3" s="990"/>
      <c r="BA3" s="991"/>
      <c r="BB3" s="206"/>
    </row>
    <row r="4" spans="1:54" s="66" customFormat="1" ht="16.5" customHeight="1" x14ac:dyDescent="0.2">
      <c r="A4" s="1043" t="s">
        <v>367</v>
      </c>
      <c r="B4" s="998" t="s">
        <v>368</v>
      </c>
      <c r="C4" s="1001" t="s">
        <v>214</v>
      </c>
      <c r="D4" s="1002"/>
      <c r="E4" s="1001" t="s">
        <v>292</v>
      </c>
      <c r="F4" s="1002"/>
      <c r="G4" s="739"/>
      <c r="H4" s="1009" t="s">
        <v>295</v>
      </c>
      <c r="I4" s="1010"/>
      <c r="J4" s="1010"/>
      <c r="K4" s="1011"/>
      <c r="L4" s="1009" t="s">
        <v>269</v>
      </c>
      <c r="M4" s="1010"/>
      <c r="N4" s="1010"/>
      <c r="O4" s="1010"/>
      <c r="P4" s="1010"/>
      <c r="Q4" s="1010"/>
      <c r="R4" s="1010"/>
      <c r="S4" s="1010"/>
      <c r="T4" s="1011"/>
      <c r="U4" s="985" t="s">
        <v>305</v>
      </c>
      <c r="V4" s="1007"/>
      <c r="W4" s="1007"/>
      <c r="X4" s="1007"/>
      <c r="Y4" s="1007"/>
      <c r="Z4" s="1008"/>
      <c r="AA4" s="1037" t="s">
        <v>308</v>
      </c>
      <c r="AB4" s="1038"/>
      <c r="AC4" s="1039"/>
      <c r="AD4" s="1023"/>
      <c r="AE4" s="1024"/>
      <c r="AF4" s="1024"/>
      <c r="AG4" s="1024"/>
      <c r="AH4" s="1024"/>
      <c r="AI4" s="1024"/>
      <c r="AJ4" s="1024"/>
      <c r="AK4" s="1025"/>
      <c r="AL4" s="1016"/>
      <c r="AM4" s="1016"/>
      <c r="AN4" s="984"/>
      <c r="AO4" s="984"/>
      <c r="AP4" s="984"/>
      <c r="AQ4" s="984"/>
      <c r="AR4" s="985"/>
      <c r="AS4" s="986"/>
      <c r="AU4" s="992"/>
      <c r="AV4" s="993"/>
      <c r="AW4" s="993"/>
      <c r="AX4" s="993"/>
      <c r="AY4" s="993"/>
      <c r="AZ4" s="993"/>
      <c r="BA4" s="994"/>
      <c r="BB4" s="207"/>
    </row>
    <row r="5" spans="1:54" s="66" customFormat="1" ht="16.5" customHeight="1" thickBot="1" x14ac:dyDescent="0.25">
      <c r="A5" s="1044"/>
      <c r="B5" s="999"/>
      <c r="C5" s="1003"/>
      <c r="D5" s="1004"/>
      <c r="E5" s="1003"/>
      <c r="F5" s="1004"/>
      <c r="G5" s="999" t="s">
        <v>293</v>
      </c>
      <c r="H5" s="1012"/>
      <c r="I5" s="1013"/>
      <c r="J5" s="1013"/>
      <c r="K5" s="1014"/>
      <c r="L5" s="1012"/>
      <c r="M5" s="1013"/>
      <c r="N5" s="1013"/>
      <c r="O5" s="1013"/>
      <c r="P5" s="1013"/>
      <c r="Q5" s="1013"/>
      <c r="R5" s="1013"/>
      <c r="S5" s="1013"/>
      <c r="T5" s="1014"/>
      <c r="U5" s="985" t="s">
        <v>306</v>
      </c>
      <c r="V5" s="1007"/>
      <c r="W5" s="1008"/>
      <c r="X5" s="985" t="s">
        <v>307</v>
      </c>
      <c r="Y5" s="1007"/>
      <c r="Z5" s="1008"/>
      <c r="AA5" s="1040"/>
      <c r="AB5" s="1041"/>
      <c r="AC5" s="1042"/>
      <c r="AD5" s="1018" t="s">
        <v>272</v>
      </c>
      <c r="AE5" s="1018" t="s">
        <v>314</v>
      </c>
      <c r="AF5" s="985" t="s">
        <v>274</v>
      </c>
      <c r="AG5" s="1007"/>
      <c r="AH5" s="1008"/>
      <c r="AI5" s="985" t="s">
        <v>318</v>
      </c>
      <c r="AJ5" s="1007"/>
      <c r="AK5" s="1008"/>
      <c r="AL5" s="1016"/>
      <c r="AM5" s="1016"/>
      <c r="AN5" s="984"/>
      <c r="AO5" s="984"/>
      <c r="AP5" s="984"/>
      <c r="AQ5" s="984"/>
      <c r="AR5" s="985"/>
      <c r="AS5" s="986"/>
      <c r="AU5" s="995"/>
      <c r="AV5" s="996"/>
      <c r="AW5" s="996"/>
      <c r="AX5" s="996"/>
      <c r="AY5" s="996"/>
      <c r="AZ5" s="996"/>
      <c r="BA5" s="997"/>
      <c r="BB5" s="208"/>
    </row>
    <row r="6" spans="1:54" s="63" customFormat="1" ht="44.25" customHeight="1" thickBot="1" x14ac:dyDescent="0.3">
      <c r="A6" s="1045"/>
      <c r="B6" s="1000"/>
      <c r="C6" s="1005"/>
      <c r="D6" s="1006"/>
      <c r="E6" s="1005"/>
      <c r="F6" s="1006"/>
      <c r="G6" s="1000"/>
      <c r="H6" s="791" t="s">
        <v>369</v>
      </c>
      <c r="I6" s="792" t="s">
        <v>296</v>
      </c>
      <c r="J6" s="792" t="s">
        <v>297</v>
      </c>
      <c r="K6" s="792" t="s">
        <v>298</v>
      </c>
      <c r="L6" s="790" t="s">
        <v>299</v>
      </c>
      <c r="M6" s="792" t="s">
        <v>300</v>
      </c>
      <c r="N6" s="790" t="s">
        <v>301</v>
      </c>
      <c r="O6" s="790" t="s">
        <v>302</v>
      </c>
      <c r="P6" s="790" t="s">
        <v>303</v>
      </c>
      <c r="Q6" s="792" t="s">
        <v>304</v>
      </c>
      <c r="R6" s="792" t="s">
        <v>370</v>
      </c>
      <c r="S6" s="789" t="s">
        <v>371</v>
      </c>
      <c r="T6" s="802" t="e">
        <f>(L6*M6*O6)+(L6*M6*N6*P6)+(L6*M6*N6*Q6)+(L6*N6*R6)+(L6*M6*S6)</f>
        <v>#VALUE!</v>
      </c>
      <c r="U6" s="792" t="s">
        <v>309</v>
      </c>
      <c r="V6" s="791" t="s">
        <v>310</v>
      </c>
      <c r="W6" s="791" t="s">
        <v>1</v>
      </c>
      <c r="X6" s="792" t="s">
        <v>309</v>
      </c>
      <c r="Y6" s="791" t="s">
        <v>310</v>
      </c>
      <c r="Z6" s="791" t="s">
        <v>0</v>
      </c>
      <c r="AA6" s="791" t="s">
        <v>311</v>
      </c>
      <c r="AB6" s="791" t="s">
        <v>312</v>
      </c>
      <c r="AC6" s="791" t="s">
        <v>0</v>
      </c>
      <c r="AD6" s="1019"/>
      <c r="AE6" s="1019"/>
      <c r="AF6" s="791" t="s">
        <v>315</v>
      </c>
      <c r="AG6" s="791" t="s">
        <v>316</v>
      </c>
      <c r="AH6" s="791" t="s">
        <v>298</v>
      </c>
      <c r="AI6" s="791" t="s">
        <v>317</v>
      </c>
      <c r="AJ6" s="791" t="s">
        <v>316</v>
      </c>
      <c r="AK6" s="791" t="s">
        <v>298</v>
      </c>
      <c r="AL6" s="1017"/>
      <c r="AM6" s="1017"/>
      <c r="AN6" s="800" t="s">
        <v>286</v>
      </c>
      <c r="AO6" s="801" t="s">
        <v>287</v>
      </c>
      <c r="AP6" s="801" t="s">
        <v>322</v>
      </c>
      <c r="AQ6" s="801" t="s">
        <v>288</v>
      </c>
      <c r="AR6" s="791" t="s">
        <v>198</v>
      </c>
      <c r="AS6" s="72" t="s">
        <v>258</v>
      </c>
      <c r="AU6" s="803" t="s">
        <v>374</v>
      </c>
      <c r="AV6" s="800" t="s">
        <v>286</v>
      </c>
      <c r="AW6" s="804" t="s">
        <v>287</v>
      </c>
      <c r="AX6" s="804" t="s">
        <v>322</v>
      </c>
      <c r="AY6" s="804" t="s">
        <v>288</v>
      </c>
      <c r="AZ6" s="804" t="s">
        <v>257</v>
      </c>
      <c r="BA6" s="804" t="s">
        <v>260</v>
      </c>
      <c r="BB6" s="209"/>
    </row>
    <row r="7" spans="1:54" s="67" customFormat="1" ht="16.5" customHeight="1" thickBot="1" x14ac:dyDescent="0.25">
      <c r="A7" s="650" t="s">
        <v>3</v>
      </c>
      <c r="B7" s="651" t="s">
        <v>4</v>
      </c>
      <c r="C7" s="652" t="s">
        <v>5</v>
      </c>
      <c r="D7" s="653" t="s">
        <v>6</v>
      </c>
      <c r="E7" s="652" t="s">
        <v>7</v>
      </c>
      <c r="F7" s="654" t="s">
        <v>8</v>
      </c>
      <c r="G7" s="654"/>
      <c r="H7" s="655">
        <v>1</v>
      </c>
      <c r="I7" s="655">
        <v>2</v>
      </c>
      <c r="J7" s="655">
        <v>3</v>
      </c>
      <c r="K7" s="655" t="s">
        <v>2</v>
      </c>
      <c r="L7" s="655">
        <v>11</v>
      </c>
      <c r="M7" s="655"/>
      <c r="N7" s="655">
        <v>12</v>
      </c>
      <c r="O7" s="655">
        <v>13</v>
      </c>
      <c r="P7" s="655">
        <v>14</v>
      </c>
      <c r="Q7" s="655">
        <v>15</v>
      </c>
      <c r="R7" s="655">
        <v>16</v>
      </c>
      <c r="S7" s="655"/>
      <c r="T7" s="649">
        <f t="shared" ref="T7:T16" si="0">(L7*M7*O7)+(L7*M7*N7*P7)+(L7*M7*N7*Q7)+(L7*N7*R7)+(L7*M7*S7)</f>
        <v>2112</v>
      </c>
      <c r="U7" s="655">
        <v>14</v>
      </c>
      <c r="V7" s="655">
        <v>15</v>
      </c>
      <c r="W7" s="656">
        <v>16</v>
      </c>
      <c r="X7" s="655">
        <v>17</v>
      </c>
      <c r="Y7" s="655">
        <v>18</v>
      </c>
      <c r="Z7" s="656">
        <v>20</v>
      </c>
      <c r="AA7" s="655">
        <v>30</v>
      </c>
      <c r="AB7" s="655">
        <v>31</v>
      </c>
      <c r="AC7" s="655">
        <v>32</v>
      </c>
      <c r="AD7" s="655">
        <v>34</v>
      </c>
      <c r="AE7" s="655"/>
      <c r="AF7" s="655">
        <v>21</v>
      </c>
      <c r="AG7" s="655">
        <v>22</v>
      </c>
      <c r="AH7" s="655">
        <v>23</v>
      </c>
      <c r="AI7" s="655">
        <v>24</v>
      </c>
      <c r="AJ7" s="655">
        <v>25</v>
      </c>
      <c r="AK7" s="655">
        <v>26</v>
      </c>
      <c r="AL7" s="101">
        <v>41</v>
      </c>
      <c r="AM7" s="101">
        <v>42</v>
      </c>
      <c r="AN7" s="100">
        <v>43</v>
      </c>
      <c r="AO7" s="100">
        <v>44</v>
      </c>
      <c r="AP7" s="100"/>
      <c r="AQ7" s="100"/>
      <c r="AR7" s="100">
        <v>45</v>
      </c>
      <c r="AS7" s="102">
        <v>46</v>
      </c>
      <c r="AU7" s="103"/>
      <c r="AV7" s="103"/>
      <c r="AW7" s="104"/>
      <c r="AX7" s="104"/>
      <c r="AY7" s="104"/>
      <c r="AZ7" s="104"/>
      <c r="BA7" s="104"/>
      <c r="BB7" s="210"/>
    </row>
    <row r="8" spans="1:54" s="66" customFormat="1" ht="83.25" customHeight="1" thickBot="1" x14ac:dyDescent="0.25">
      <c r="A8" s="1056">
        <v>1</v>
      </c>
      <c r="B8" s="1027" t="s">
        <v>693</v>
      </c>
      <c r="C8" s="1027">
        <v>1.1000000000000001</v>
      </c>
      <c r="D8" s="1059" t="s">
        <v>689</v>
      </c>
      <c r="E8" s="105" t="s">
        <v>14</v>
      </c>
      <c r="F8" s="426" t="s">
        <v>690</v>
      </c>
      <c r="G8" s="105"/>
      <c r="H8" s="128"/>
      <c r="I8" s="129"/>
      <c r="J8" s="129"/>
      <c r="K8" s="130">
        <f t="shared" ref="K8:K14" si="1">H8*I8*J8</f>
        <v>0</v>
      </c>
      <c r="L8" s="131"/>
      <c r="M8" s="131"/>
      <c r="N8" s="131"/>
      <c r="O8" s="131"/>
      <c r="P8" s="131"/>
      <c r="Q8" s="131"/>
      <c r="R8" s="131"/>
      <c r="S8" s="131"/>
      <c r="T8" s="68">
        <f t="shared" si="0"/>
        <v>0</v>
      </c>
      <c r="U8" s="69"/>
      <c r="V8" s="69"/>
      <c r="W8" s="68">
        <f t="shared" ref="W8:W14" si="2">U8*V8</f>
        <v>0</v>
      </c>
      <c r="X8" s="69" t="s">
        <v>30</v>
      </c>
      <c r="Y8" s="69"/>
      <c r="Z8" s="68">
        <v>14242</v>
      </c>
      <c r="AA8" s="70"/>
      <c r="AB8" s="70"/>
      <c r="AC8" s="68">
        <f t="shared" ref="AC8:AC14" si="3">AA8*AB8</f>
        <v>0</v>
      </c>
      <c r="AD8" s="68"/>
      <c r="AE8" s="68"/>
      <c r="AF8" s="89"/>
      <c r="AG8" s="89"/>
      <c r="AH8" s="68">
        <f t="shared" ref="AH8:AH14" si="4">AF8*AG8</f>
        <v>0</v>
      </c>
      <c r="AI8" s="89"/>
      <c r="AJ8" s="89"/>
      <c r="AK8" s="68">
        <f t="shared" ref="AK8:AK14" si="5">AI8*AJ8</f>
        <v>0</v>
      </c>
      <c r="AL8" s="68"/>
      <c r="AM8" s="68">
        <f>K8+T8+W8+Z8+AC8+AH8+AK8+AL8+AD8+AE8</f>
        <v>14242</v>
      </c>
      <c r="AN8" s="71"/>
      <c r="AO8" s="74">
        <v>14242</v>
      </c>
      <c r="AP8" s="88" t="s">
        <v>30</v>
      </c>
      <c r="AQ8" s="793"/>
      <c r="AR8" s="71"/>
      <c r="AS8" s="72">
        <f>AM8-AN8-AO8-AR8</f>
        <v>0</v>
      </c>
      <c r="AU8" s="987">
        <f>AM8+AM9</f>
        <v>119992</v>
      </c>
      <c r="AV8" s="987">
        <f>AN8+AN9</f>
        <v>35610</v>
      </c>
      <c r="AW8" s="987">
        <f>AO8+AO9</f>
        <v>84382</v>
      </c>
      <c r="AX8" s="987">
        <f>AR8+AR9</f>
        <v>0</v>
      </c>
      <c r="AY8" s="987">
        <f>AS8+AS9</f>
        <v>0</v>
      </c>
      <c r="AZ8" s="987">
        <f>AR8+AR9</f>
        <v>0</v>
      </c>
      <c r="BA8" s="987">
        <f>AU8-AV8-AW8</f>
        <v>0</v>
      </c>
      <c r="BB8" s="211"/>
    </row>
    <row r="9" spans="1:54" s="76" customFormat="1" ht="24.75" customHeight="1" thickBot="1" x14ac:dyDescent="0.25">
      <c r="A9" s="1057"/>
      <c r="B9" s="1028"/>
      <c r="C9" s="1028"/>
      <c r="D9" s="1060"/>
      <c r="E9" s="106" t="s">
        <v>27</v>
      </c>
      <c r="F9" s="427" t="s">
        <v>691</v>
      </c>
      <c r="G9" s="106"/>
      <c r="H9" s="37"/>
      <c r="I9" s="2"/>
      <c r="J9" s="2"/>
      <c r="K9" s="167">
        <f t="shared" si="1"/>
        <v>0</v>
      </c>
      <c r="L9" s="8">
        <v>180</v>
      </c>
      <c r="M9" s="8">
        <v>3.5</v>
      </c>
      <c r="N9" s="8">
        <v>20</v>
      </c>
      <c r="O9" s="8">
        <v>0</v>
      </c>
      <c r="P9" s="8">
        <v>0</v>
      </c>
      <c r="Q9" s="8">
        <v>0</v>
      </c>
      <c r="R9" s="8">
        <v>18</v>
      </c>
      <c r="S9" s="8">
        <v>65</v>
      </c>
      <c r="T9" s="68">
        <f t="shared" si="0"/>
        <v>105750</v>
      </c>
      <c r="U9" s="39"/>
      <c r="V9" s="39"/>
      <c r="W9" s="58">
        <f t="shared" si="2"/>
        <v>0</v>
      </c>
      <c r="X9" s="39"/>
      <c r="Y9" s="39"/>
      <c r="Z9" s="58">
        <f t="shared" ref="Z9:Z14" si="6">X9*Y9</f>
        <v>0</v>
      </c>
      <c r="AA9" s="42"/>
      <c r="AB9" s="42"/>
      <c r="AC9" s="58">
        <f t="shared" si="3"/>
        <v>0</v>
      </c>
      <c r="AD9" s="58"/>
      <c r="AE9" s="58"/>
      <c r="AF9" s="642"/>
      <c r="AG9" s="642"/>
      <c r="AH9" s="58">
        <f t="shared" si="4"/>
        <v>0</v>
      </c>
      <c r="AI9" s="642"/>
      <c r="AJ9" s="642"/>
      <c r="AK9" s="58">
        <f t="shared" si="5"/>
        <v>0</v>
      </c>
      <c r="AL9" s="58"/>
      <c r="AM9" s="68">
        <f t="shared" ref="AM9:AM44" si="7">K9+T9+W9+Z9+AC9+AH9+AK9+AL9+AD9+AE9</f>
        <v>105750</v>
      </c>
      <c r="AN9" s="71">
        <v>35610</v>
      </c>
      <c r="AO9" s="74">
        <f>AM9-AN9</f>
        <v>70140</v>
      </c>
      <c r="AP9" s="74"/>
      <c r="AQ9" s="74"/>
      <c r="AR9" s="74"/>
      <c r="AS9" s="72">
        <f t="shared" ref="AS9:AS44" si="8">AM9-AN9-AO9-AR9</f>
        <v>0</v>
      </c>
      <c r="AU9" s="1026"/>
      <c r="AV9" s="1026"/>
      <c r="AW9" s="1026"/>
      <c r="AX9" s="1026"/>
      <c r="AY9" s="1026"/>
      <c r="AZ9" s="1026"/>
      <c r="BA9" s="1026"/>
      <c r="BB9" s="211"/>
    </row>
    <row r="10" spans="1:54" s="9" customFormat="1" ht="59.25" customHeight="1" thickBot="1" x14ac:dyDescent="0.25">
      <c r="A10" s="1057"/>
      <c r="B10" s="1028"/>
      <c r="C10" s="158">
        <v>1.2</v>
      </c>
      <c r="D10" s="737" t="s">
        <v>375</v>
      </c>
      <c r="E10" s="105" t="s">
        <v>32</v>
      </c>
      <c r="F10" s="108" t="s">
        <v>377</v>
      </c>
      <c r="G10" s="105"/>
      <c r="H10" s="128"/>
      <c r="I10" s="129"/>
      <c r="J10" s="129"/>
      <c r="K10" s="130">
        <f t="shared" si="1"/>
        <v>0</v>
      </c>
      <c r="L10" s="131">
        <v>45</v>
      </c>
      <c r="M10" s="131">
        <v>2</v>
      </c>
      <c r="N10" s="131">
        <v>20</v>
      </c>
      <c r="O10" s="131">
        <v>0</v>
      </c>
      <c r="P10" s="131">
        <v>0</v>
      </c>
      <c r="Q10" s="131">
        <v>0</v>
      </c>
      <c r="R10" s="131">
        <v>18</v>
      </c>
      <c r="S10" s="131">
        <v>65</v>
      </c>
      <c r="T10" s="68">
        <f t="shared" si="0"/>
        <v>22050</v>
      </c>
      <c r="U10" s="69"/>
      <c r="V10" s="69"/>
      <c r="W10" s="68">
        <f t="shared" si="2"/>
        <v>0</v>
      </c>
      <c r="X10" s="69"/>
      <c r="Y10" s="69"/>
      <c r="Z10" s="68">
        <f t="shared" si="6"/>
        <v>0</v>
      </c>
      <c r="AA10" s="70"/>
      <c r="AB10" s="70"/>
      <c r="AC10" s="68">
        <f t="shared" si="3"/>
        <v>0</v>
      </c>
      <c r="AD10" s="68"/>
      <c r="AE10" s="68"/>
      <c r="AF10" s="89"/>
      <c r="AG10" s="89"/>
      <c r="AH10" s="68">
        <f t="shared" si="4"/>
        <v>0</v>
      </c>
      <c r="AI10" s="89"/>
      <c r="AJ10" s="89"/>
      <c r="AK10" s="68">
        <f t="shared" si="5"/>
        <v>0</v>
      </c>
      <c r="AL10" s="68"/>
      <c r="AM10" s="68">
        <f t="shared" si="7"/>
        <v>22050</v>
      </c>
      <c r="AN10" s="71">
        <f>AM10*0.67/2</f>
        <v>7386.75</v>
      </c>
      <c r="AO10" s="74">
        <f>AM10-AN10</f>
        <v>14663.25</v>
      </c>
      <c r="AP10" s="88"/>
      <c r="AQ10" s="88"/>
      <c r="AR10" s="71"/>
      <c r="AS10" s="72">
        <f t="shared" si="8"/>
        <v>0</v>
      </c>
      <c r="AU10" s="73">
        <f>AM10</f>
        <v>22050</v>
      </c>
      <c r="AV10" s="73">
        <f t="shared" ref="AV10:AW12" si="9">AN10</f>
        <v>7386.75</v>
      </c>
      <c r="AW10" s="73">
        <f t="shared" si="9"/>
        <v>14663.25</v>
      </c>
      <c r="AX10" s="73">
        <f>AR10</f>
        <v>0</v>
      </c>
      <c r="AY10" s="73">
        <f>AS10</f>
        <v>0</v>
      </c>
      <c r="AZ10" s="73">
        <f t="shared" ref="AZ10:BA12" si="10">AR10</f>
        <v>0</v>
      </c>
      <c r="BA10" s="73">
        <f t="shared" si="10"/>
        <v>0</v>
      </c>
      <c r="BB10" s="211"/>
    </row>
    <row r="11" spans="1:54" s="9" customFormat="1" ht="62.25" customHeight="1" thickBot="1" x14ac:dyDescent="0.25">
      <c r="A11" s="1057"/>
      <c r="B11" s="1028"/>
      <c r="C11" s="158">
        <v>1.3</v>
      </c>
      <c r="D11" s="737" t="s">
        <v>692</v>
      </c>
      <c r="E11" s="105" t="s">
        <v>36</v>
      </c>
      <c r="F11" s="110" t="s">
        <v>378</v>
      </c>
      <c r="G11" s="105"/>
      <c r="H11" s="128"/>
      <c r="I11" s="129"/>
      <c r="J11" s="129"/>
      <c r="K11" s="130">
        <f t="shared" si="1"/>
        <v>0</v>
      </c>
      <c r="L11" s="131">
        <v>150</v>
      </c>
      <c r="M11" s="131">
        <v>2</v>
      </c>
      <c r="N11" s="131">
        <v>20</v>
      </c>
      <c r="O11" s="131">
        <v>0</v>
      </c>
      <c r="P11" s="131">
        <v>0</v>
      </c>
      <c r="Q11" s="131">
        <v>0</v>
      </c>
      <c r="R11" s="131">
        <v>10</v>
      </c>
      <c r="S11" s="131">
        <v>65</v>
      </c>
      <c r="T11" s="68">
        <f t="shared" si="0"/>
        <v>49500</v>
      </c>
      <c r="U11" s="69"/>
      <c r="V11" s="69"/>
      <c r="W11" s="68">
        <f t="shared" si="2"/>
        <v>0</v>
      </c>
      <c r="X11" s="69"/>
      <c r="Y11" s="69"/>
      <c r="Z11" s="68">
        <f t="shared" si="6"/>
        <v>0</v>
      </c>
      <c r="AA11" s="70"/>
      <c r="AB11" s="70"/>
      <c r="AC11" s="68">
        <f t="shared" si="3"/>
        <v>0</v>
      </c>
      <c r="AD11" s="68"/>
      <c r="AE11" s="68"/>
      <c r="AF11" s="89"/>
      <c r="AG11" s="89"/>
      <c r="AH11" s="68">
        <f t="shared" si="4"/>
        <v>0</v>
      </c>
      <c r="AI11" s="89"/>
      <c r="AJ11" s="89"/>
      <c r="AK11" s="68">
        <f t="shared" si="5"/>
        <v>0</v>
      </c>
      <c r="AL11" s="68"/>
      <c r="AM11" s="68">
        <f t="shared" si="7"/>
        <v>49500</v>
      </c>
      <c r="AN11" s="71"/>
      <c r="AO11" s="88">
        <f>AM11</f>
        <v>49500</v>
      </c>
      <c r="AP11" s="88"/>
      <c r="AQ11" s="88"/>
      <c r="AR11" s="71"/>
      <c r="AS11" s="72">
        <f t="shared" si="8"/>
        <v>0</v>
      </c>
      <c r="AU11" s="73">
        <f>AM11</f>
        <v>49500</v>
      </c>
      <c r="AV11" s="73">
        <f t="shared" si="9"/>
        <v>0</v>
      </c>
      <c r="AW11" s="73">
        <f t="shared" si="9"/>
        <v>49500</v>
      </c>
      <c r="AX11" s="73">
        <f>AP11</f>
        <v>0</v>
      </c>
      <c r="AY11" s="73">
        <f>AQ11</f>
        <v>0</v>
      </c>
      <c r="AZ11" s="73">
        <f t="shared" si="10"/>
        <v>0</v>
      </c>
      <c r="BA11" s="73">
        <f t="shared" si="10"/>
        <v>0</v>
      </c>
      <c r="BB11" s="211"/>
    </row>
    <row r="12" spans="1:54" s="66" customFormat="1" ht="90.75" thickBot="1" x14ac:dyDescent="0.25">
      <c r="A12" s="1057"/>
      <c r="B12" s="1028"/>
      <c r="C12" s="158">
        <v>1.4</v>
      </c>
      <c r="D12" s="737" t="s">
        <v>376</v>
      </c>
      <c r="E12" s="105" t="s">
        <v>41</v>
      </c>
      <c r="F12" s="111" t="s">
        <v>379</v>
      </c>
      <c r="G12" s="105" t="s">
        <v>694</v>
      </c>
      <c r="H12" s="128"/>
      <c r="I12" s="129"/>
      <c r="J12" s="129"/>
      <c r="K12" s="130">
        <f t="shared" si="1"/>
        <v>0</v>
      </c>
      <c r="L12" s="131"/>
      <c r="M12" s="131"/>
      <c r="N12" s="131"/>
      <c r="O12" s="131"/>
      <c r="P12" s="131"/>
      <c r="Q12" s="131"/>
      <c r="R12" s="131"/>
      <c r="S12" s="131"/>
      <c r="T12" s="68">
        <f t="shared" si="0"/>
        <v>0</v>
      </c>
      <c r="U12" s="69"/>
      <c r="V12" s="69"/>
      <c r="W12" s="68">
        <f t="shared" si="2"/>
        <v>0</v>
      </c>
      <c r="X12" s="69"/>
      <c r="Y12" s="69"/>
      <c r="Z12" s="68">
        <f t="shared" si="6"/>
        <v>0</v>
      </c>
      <c r="AA12" s="70"/>
      <c r="AB12" s="70"/>
      <c r="AC12" s="68">
        <f t="shared" si="3"/>
        <v>0</v>
      </c>
      <c r="AD12" s="68"/>
      <c r="AE12" s="68"/>
      <c r="AF12" s="89"/>
      <c r="AG12" s="89"/>
      <c r="AH12" s="68">
        <f t="shared" si="4"/>
        <v>0</v>
      </c>
      <c r="AI12" s="89"/>
      <c r="AJ12" s="89"/>
      <c r="AK12" s="68">
        <f t="shared" si="5"/>
        <v>0</v>
      </c>
      <c r="AL12" s="68"/>
      <c r="AM12" s="68">
        <f t="shared" si="7"/>
        <v>0</v>
      </c>
      <c r="AN12" s="71"/>
      <c r="AO12" s="71"/>
      <c r="AP12" s="71"/>
      <c r="AQ12" s="71"/>
      <c r="AR12" s="71"/>
      <c r="AS12" s="72">
        <f t="shared" si="8"/>
        <v>0</v>
      </c>
      <c r="AU12" s="73">
        <f>AM12</f>
        <v>0</v>
      </c>
      <c r="AV12" s="73">
        <f t="shared" si="9"/>
        <v>0</v>
      </c>
      <c r="AW12" s="73">
        <f t="shared" si="9"/>
        <v>0</v>
      </c>
      <c r="AX12" s="73">
        <f>AP12</f>
        <v>0</v>
      </c>
      <c r="AY12" s="73">
        <f>AQ12</f>
        <v>0</v>
      </c>
      <c r="AZ12" s="73">
        <f t="shared" si="10"/>
        <v>0</v>
      </c>
      <c r="BA12" s="73">
        <f t="shared" si="10"/>
        <v>0</v>
      </c>
      <c r="BB12" s="211"/>
    </row>
    <row r="13" spans="1:54" s="66" customFormat="1" ht="45" customHeight="1" thickBot="1" x14ac:dyDescent="0.25">
      <c r="A13" s="1057"/>
      <c r="B13" s="1028"/>
      <c r="C13" s="1027">
        <v>1.5</v>
      </c>
      <c r="D13" s="1059" t="s">
        <v>695</v>
      </c>
      <c r="E13" s="105" t="s">
        <v>44</v>
      </c>
      <c r="F13" s="741" t="s">
        <v>380</v>
      </c>
      <c r="G13" s="105" t="s">
        <v>694</v>
      </c>
      <c r="H13" s="128"/>
      <c r="I13" s="129"/>
      <c r="J13" s="129"/>
      <c r="K13" s="130">
        <f t="shared" si="1"/>
        <v>0</v>
      </c>
      <c r="L13" s="131"/>
      <c r="M13" s="131"/>
      <c r="N13" s="131"/>
      <c r="O13" s="131"/>
      <c r="P13" s="131"/>
      <c r="Q13" s="131"/>
      <c r="R13" s="131"/>
      <c r="S13" s="131"/>
      <c r="T13" s="68">
        <f t="shared" si="0"/>
        <v>0</v>
      </c>
      <c r="U13" s="69"/>
      <c r="V13" s="69"/>
      <c r="W13" s="68">
        <f t="shared" si="2"/>
        <v>0</v>
      </c>
      <c r="X13" s="69"/>
      <c r="Y13" s="69"/>
      <c r="Z13" s="68">
        <f t="shared" si="6"/>
        <v>0</v>
      </c>
      <c r="AA13" s="70"/>
      <c r="AB13" s="70"/>
      <c r="AC13" s="68">
        <f t="shared" si="3"/>
        <v>0</v>
      </c>
      <c r="AD13" s="68"/>
      <c r="AE13" s="68"/>
      <c r="AF13" s="89"/>
      <c r="AG13" s="89"/>
      <c r="AH13" s="68">
        <f t="shared" si="4"/>
        <v>0</v>
      </c>
      <c r="AI13" s="89"/>
      <c r="AJ13" s="89"/>
      <c r="AK13" s="68">
        <f t="shared" si="5"/>
        <v>0</v>
      </c>
      <c r="AL13" s="68"/>
      <c r="AM13" s="68">
        <f t="shared" si="7"/>
        <v>0</v>
      </c>
      <c r="AN13" s="71"/>
      <c r="AO13" s="71"/>
      <c r="AP13" s="71"/>
      <c r="AQ13" s="71"/>
      <c r="AR13" s="71"/>
      <c r="AS13" s="72">
        <f t="shared" si="8"/>
        <v>0</v>
      </c>
      <c r="AU13" s="987">
        <f t="shared" ref="AU13:BA13" si="11">AM13+AM14</f>
        <v>27150</v>
      </c>
      <c r="AV13" s="987">
        <f t="shared" si="11"/>
        <v>0</v>
      </c>
      <c r="AW13" s="987">
        <f t="shared" si="11"/>
        <v>16180</v>
      </c>
      <c r="AX13" s="987">
        <f t="shared" si="11"/>
        <v>0</v>
      </c>
      <c r="AY13" s="987">
        <f t="shared" si="11"/>
        <v>0</v>
      </c>
      <c r="AZ13" s="987">
        <f t="shared" si="11"/>
        <v>0</v>
      </c>
      <c r="BA13" s="987">
        <f t="shared" si="11"/>
        <v>10970</v>
      </c>
      <c r="BB13" s="211"/>
    </row>
    <row r="14" spans="1:54" s="76" customFormat="1" ht="42" customHeight="1" thickBot="1" x14ac:dyDescent="0.25">
      <c r="A14" s="1058"/>
      <c r="B14" s="1061"/>
      <c r="C14" s="1061"/>
      <c r="D14" s="1060"/>
      <c r="E14" s="109" t="s">
        <v>45</v>
      </c>
      <c r="F14" s="742" t="s">
        <v>381</v>
      </c>
      <c r="G14" s="109" t="s">
        <v>30</v>
      </c>
      <c r="H14" s="135"/>
      <c r="I14" s="139"/>
      <c r="J14" s="139"/>
      <c r="K14" s="184">
        <f t="shared" si="1"/>
        <v>0</v>
      </c>
      <c r="L14" s="137">
        <v>5</v>
      </c>
      <c r="M14" s="137">
        <v>2</v>
      </c>
      <c r="N14" s="137">
        <v>10</v>
      </c>
      <c r="O14" s="137">
        <v>0</v>
      </c>
      <c r="P14" s="137">
        <v>0</v>
      </c>
      <c r="Q14" s="137">
        <v>0</v>
      </c>
      <c r="R14" s="137">
        <v>10</v>
      </c>
      <c r="S14" s="137">
        <v>65</v>
      </c>
      <c r="T14" s="68">
        <f t="shared" si="0"/>
        <v>1150</v>
      </c>
      <c r="U14" s="82"/>
      <c r="V14" s="82"/>
      <c r="W14" s="64">
        <f t="shared" si="2"/>
        <v>0</v>
      </c>
      <c r="X14" s="82">
        <v>20</v>
      </c>
      <c r="Y14" s="82">
        <v>1200</v>
      </c>
      <c r="Z14" s="64">
        <f t="shared" si="6"/>
        <v>24000</v>
      </c>
      <c r="AA14" s="83"/>
      <c r="AB14" s="83"/>
      <c r="AC14" s="64">
        <f t="shared" si="3"/>
        <v>0</v>
      </c>
      <c r="AD14" s="64"/>
      <c r="AE14" s="64"/>
      <c r="AF14" s="646"/>
      <c r="AG14" s="646"/>
      <c r="AH14" s="64">
        <f t="shared" si="4"/>
        <v>0</v>
      </c>
      <c r="AI14" s="646"/>
      <c r="AJ14" s="646"/>
      <c r="AK14" s="64">
        <f t="shared" si="5"/>
        <v>0</v>
      </c>
      <c r="AL14" s="64">
        <v>2000</v>
      </c>
      <c r="AM14" s="68">
        <f t="shared" si="7"/>
        <v>27150</v>
      </c>
      <c r="AN14" s="81"/>
      <c r="AO14" s="81">
        <v>16180</v>
      </c>
      <c r="AP14" s="81"/>
      <c r="AQ14" s="81"/>
      <c r="AR14" s="81"/>
      <c r="AS14" s="72">
        <f t="shared" si="8"/>
        <v>10970</v>
      </c>
      <c r="AT14" s="84"/>
      <c r="AU14" s="988"/>
      <c r="AV14" s="988"/>
      <c r="AW14" s="988"/>
      <c r="AX14" s="988"/>
      <c r="AY14" s="988"/>
      <c r="AZ14" s="988"/>
      <c r="BA14" s="988"/>
      <c r="BB14" s="212"/>
    </row>
    <row r="15" spans="1:54" s="66" customFormat="1" ht="60" customHeight="1" thickBot="1" x14ac:dyDescent="0.25">
      <c r="A15" s="1083">
        <v>2</v>
      </c>
      <c r="B15" s="1079" t="s">
        <v>383</v>
      </c>
      <c r="C15" s="1027">
        <v>2.1</v>
      </c>
      <c r="D15" s="1059" t="s">
        <v>388</v>
      </c>
      <c r="E15" s="105" t="s">
        <v>16</v>
      </c>
      <c r="F15" s="112" t="s">
        <v>389</v>
      </c>
      <c r="G15" s="105" t="s">
        <v>30</v>
      </c>
      <c r="H15" s="128"/>
      <c r="I15" s="129"/>
      <c r="J15" s="129"/>
      <c r="K15" s="130">
        <f t="shared" ref="K15:K27" si="12">H15*I15*J15</f>
        <v>0</v>
      </c>
      <c r="L15" s="131"/>
      <c r="M15" s="131"/>
      <c r="N15" s="131"/>
      <c r="O15" s="131"/>
      <c r="P15" s="131"/>
      <c r="Q15" s="131"/>
      <c r="R15" s="131"/>
      <c r="S15" s="131"/>
      <c r="T15" s="68">
        <f t="shared" si="0"/>
        <v>0</v>
      </c>
      <c r="U15" s="69"/>
      <c r="V15" s="69"/>
      <c r="W15" s="68">
        <f t="shared" ref="W15:W26" si="13">U15*V15</f>
        <v>0</v>
      </c>
      <c r="X15" s="69"/>
      <c r="Y15" s="69"/>
      <c r="Z15" s="68">
        <v>32345</v>
      </c>
      <c r="AA15" s="70"/>
      <c r="AB15" s="70"/>
      <c r="AC15" s="68">
        <f t="shared" ref="AC15:AC26" si="14">AA15*AB15</f>
        <v>0</v>
      </c>
      <c r="AD15" s="68"/>
      <c r="AE15" s="68"/>
      <c r="AF15" s="89"/>
      <c r="AG15" s="89"/>
      <c r="AH15" s="68">
        <f t="shared" ref="AH15:AH26" si="15">AF15*AG15</f>
        <v>0</v>
      </c>
      <c r="AI15" s="89"/>
      <c r="AJ15" s="89"/>
      <c r="AK15" s="68">
        <f t="shared" ref="AK15:AK26" si="16">AI15*AJ15</f>
        <v>0</v>
      </c>
      <c r="AL15" s="68"/>
      <c r="AM15" s="68">
        <f t="shared" si="7"/>
        <v>32345</v>
      </c>
      <c r="AN15" s="71">
        <f>AM15*0.67/2</f>
        <v>10835.575000000001</v>
      </c>
      <c r="AO15" s="1066">
        <f>25972+38718+26805+32345</f>
        <v>123840</v>
      </c>
      <c r="AP15" s="341"/>
      <c r="AQ15" s="341"/>
      <c r="AR15" s="1066"/>
      <c r="AS15" s="1069">
        <f>(AM15+AM16+AM17)-(AN15+AN16+AN17+AO15)</f>
        <v>37733.599999999977</v>
      </c>
      <c r="AU15" s="987">
        <f t="shared" ref="AU15:BA15" si="17">AM15+AM16+AM17</f>
        <v>271840</v>
      </c>
      <c r="AV15" s="987">
        <f t="shared" si="17"/>
        <v>110266.40000000001</v>
      </c>
      <c r="AW15" s="987">
        <f t="shared" si="17"/>
        <v>123840</v>
      </c>
      <c r="AX15" s="987">
        <f t="shared" si="17"/>
        <v>0</v>
      </c>
      <c r="AY15" s="987">
        <f t="shared" si="17"/>
        <v>0</v>
      </c>
      <c r="AZ15" s="987">
        <f t="shared" si="17"/>
        <v>0</v>
      </c>
      <c r="BA15" s="987">
        <f t="shared" si="17"/>
        <v>37733.599999999977</v>
      </c>
      <c r="BB15" s="211"/>
    </row>
    <row r="16" spans="1:54" s="66" customFormat="1" ht="47.25" customHeight="1" thickBot="1" x14ac:dyDescent="0.25">
      <c r="A16" s="1083"/>
      <c r="B16" s="1079"/>
      <c r="C16" s="1028"/>
      <c r="D16" s="1084"/>
      <c r="E16" s="113" t="s">
        <v>17</v>
      </c>
      <c r="F16" s="114" t="s">
        <v>387</v>
      </c>
      <c r="G16" s="113"/>
      <c r="H16" s="132"/>
      <c r="I16" s="133"/>
      <c r="J16" s="133"/>
      <c r="K16" s="189">
        <f t="shared" si="12"/>
        <v>0</v>
      </c>
      <c r="L16" s="141">
        <v>60</v>
      </c>
      <c r="M16" s="141">
        <v>10</v>
      </c>
      <c r="N16" s="141">
        <v>20</v>
      </c>
      <c r="O16" s="141">
        <v>0</v>
      </c>
      <c r="P16" s="141">
        <v>0</v>
      </c>
      <c r="Q16" s="141">
        <v>0</v>
      </c>
      <c r="R16" s="141">
        <v>50</v>
      </c>
      <c r="S16" s="141">
        <v>65</v>
      </c>
      <c r="T16" s="68">
        <f t="shared" si="0"/>
        <v>99000</v>
      </c>
      <c r="U16" s="85"/>
      <c r="V16" s="85"/>
      <c r="W16" s="86"/>
      <c r="X16" s="85"/>
      <c r="Y16" s="85"/>
      <c r="Z16" s="86"/>
      <c r="AA16" s="87"/>
      <c r="AB16" s="87"/>
      <c r="AC16" s="86"/>
      <c r="AD16" s="86"/>
      <c r="AE16" s="86"/>
      <c r="AF16" s="639"/>
      <c r="AG16" s="639"/>
      <c r="AH16" s="86"/>
      <c r="AI16" s="639"/>
      <c r="AJ16" s="639"/>
      <c r="AK16" s="86"/>
      <c r="AL16" s="86">
        <v>1000</v>
      </c>
      <c r="AM16" s="68">
        <f t="shared" si="7"/>
        <v>100000</v>
      </c>
      <c r="AN16" s="71">
        <f>AM16*0.67/2</f>
        <v>33500</v>
      </c>
      <c r="AO16" s="1067"/>
      <c r="AP16" s="342"/>
      <c r="AQ16" s="342"/>
      <c r="AR16" s="1067"/>
      <c r="AS16" s="1070"/>
      <c r="AU16" s="1065"/>
      <c r="AV16" s="1065"/>
      <c r="AW16" s="1065"/>
      <c r="AX16" s="1065"/>
      <c r="AY16" s="1065"/>
      <c r="AZ16" s="1065"/>
      <c r="BA16" s="1065"/>
      <c r="BB16" s="211"/>
    </row>
    <row r="17" spans="1:54" s="76" customFormat="1" ht="48" customHeight="1" thickBot="1" x14ac:dyDescent="0.25">
      <c r="A17" s="1083"/>
      <c r="B17" s="1079"/>
      <c r="C17" s="1028"/>
      <c r="D17" s="1084"/>
      <c r="E17" s="106" t="s">
        <v>46</v>
      </c>
      <c r="F17" s="126" t="s">
        <v>390</v>
      </c>
      <c r="G17" s="106" t="s">
        <v>382</v>
      </c>
      <c r="H17" s="37">
        <v>2</v>
      </c>
      <c r="I17" s="2">
        <v>400</v>
      </c>
      <c r="J17" s="2">
        <v>60</v>
      </c>
      <c r="K17" s="167">
        <f t="shared" si="12"/>
        <v>48000</v>
      </c>
      <c r="L17" s="8">
        <v>20</v>
      </c>
      <c r="M17" s="8">
        <v>5</v>
      </c>
      <c r="N17" s="8">
        <v>20</v>
      </c>
      <c r="O17" s="99">
        <v>100</v>
      </c>
      <c r="P17" s="99">
        <v>12</v>
      </c>
      <c r="Q17" s="99">
        <v>20</v>
      </c>
      <c r="R17" s="8">
        <v>25</v>
      </c>
      <c r="S17" s="8">
        <v>65</v>
      </c>
      <c r="T17" s="68">
        <f>(L17*M17*O17)+(L17*M17*N17*P17)+(L17*M17*N17*Q17)+(L17*N17*R17)+(L17*M17*S17)</f>
        <v>90500</v>
      </c>
      <c r="U17" s="39"/>
      <c r="V17" s="39"/>
      <c r="W17" s="58">
        <f t="shared" si="13"/>
        <v>0</v>
      </c>
      <c r="X17" s="39"/>
      <c r="Y17" s="39"/>
      <c r="Z17" s="58">
        <f t="shared" ref="Z17:Z26" si="18">X17*Y17</f>
        <v>0</v>
      </c>
      <c r="AA17" s="42"/>
      <c r="AB17" s="42"/>
      <c r="AC17" s="58">
        <f t="shared" si="14"/>
        <v>0</v>
      </c>
      <c r="AD17" s="58"/>
      <c r="AE17" s="58"/>
      <c r="AF17" s="642"/>
      <c r="AG17" s="642"/>
      <c r="AH17" s="58">
        <f t="shared" si="15"/>
        <v>0</v>
      </c>
      <c r="AI17" s="642"/>
      <c r="AJ17" s="642"/>
      <c r="AK17" s="58">
        <f t="shared" si="16"/>
        <v>0</v>
      </c>
      <c r="AL17" s="58">
        <v>995</v>
      </c>
      <c r="AM17" s="68">
        <f t="shared" si="7"/>
        <v>139495</v>
      </c>
      <c r="AN17" s="71">
        <f>(AM17*0.67/2)+19200</f>
        <v>65930.825000000012</v>
      </c>
      <c r="AO17" s="1068"/>
      <c r="AP17" s="343"/>
      <c r="AQ17" s="343"/>
      <c r="AR17" s="1068"/>
      <c r="AS17" s="1071"/>
      <c r="AU17" s="1026"/>
      <c r="AV17" s="1026"/>
      <c r="AW17" s="1026"/>
      <c r="AX17" s="1026"/>
      <c r="AY17" s="1026"/>
      <c r="AZ17" s="1026"/>
      <c r="BA17" s="1026"/>
      <c r="BB17" s="211"/>
    </row>
    <row r="18" spans="1:54" s="9" customFormat="1" ht="57" customHeight="1" thickBot="1" x14ac:dyDescent="0.25">
      <c r="A18" s="1083"/>
      <c r="B18" s="1079"/>
      <c r="C18" s="1027">
        <v>2.2000000000000002</v>
      </c>
      <c r="D18" s="1059" t="s">
        <v>384</v>
      </c>
      <c r="E18" s="105" t="s">
        <v>15</v>
      </c>
      <c r="F18" s="743" t="s">
        <v>392</v>
      </c>
      <c r="G18" s="105" t="s">
        <v>694</v>
      </c>
      <c r="H18" s="128"/>
      <c r="I18" s="129"/>
      <c r="J18" s="129"/>
      <c r="K18" s="130">
        <f t="shared" si="12"/>
        <v>0</v>
      </c>
      <c r="L18" s="131"/>
      <c r="M18" s="131"/>
      <c r="N18" s="131"/>
      <c r="O18" s="131"/>
      <c r="P18" s="131"/>
      <c r="Q18" s="131"/>
      <c r="R18" s="131"/>
      <c r="S18" s="131"/>
      <c r="T18" s="68">
        <f t="shared" ref="T18:T44" si="19">(L18*M18*O18)+(L18*M18*N18*P18)+(L18*M18*N18*Q18)+(L18*N18*R18)+(L18*M18*S18)</f>
        <v>0</v>
      </c>
      <c r="U18" s="89">
        <v>57</v>
      </c>
      <c r="V18" s="89">
        <v>90</v>
      </c>
      <c r="W18" s="68">
        <f t="shared" si="13"/>
        <v>5130</v>
      </c>
      <c r="X18" s="69"/>
      <c r="Y18" s="69"/>
      <c r="Z18" s="68">
        <f t="shared" si="18"/>
        <v>0</v>
      </c>
      <c r="AA18" s="70"/>
      <c r="AB18" s="70"/>
      <c r="AC18" s="68">
        <f t="shared" si="14"/>
        <v>0</v>
      </c>
      <c r="AD18" s="68"/>
      <c r="AE18" s="68"/>
      <c r="AF18" s="89"/>
      <c r="AG18" s="89"/>
      <c r="AH18" s="68">
        <f t="shared" si="15"/>
        <v>0</v>
      </c>
      <c r="AI18" s="89"/>
      <c r="AJ18" s="89"/>
      <c r="AK18" s="68">
        <f t="shared" si="16"/>
        <v>0</v>
      </c>
      <c r="AL18" s="68"/>
      <c r="AM18" s="68">
        <f t="shared" si="7"/>
        <v>5130</v>
      </c>
      <c r="AN18" s="71">
        <f>AM18*0.67/2</f>
        <v>1718.5500000000002</v>
      </c>
      <c r="AO18" s="1066">
        <f>11010+148069</f>
        <v>159079</v>
      </c>
      <c r="AP18" s="341"/>
      <c r="AQ18" s="341"/>
      <c r="AR18" s="71"/>
      <c r="AS18" s="1062">
        <f>AM18+AM19+AM20-AN18-AN19-AN20-AO18</f>
        <v>-53291.464999999997</v>
      </c>
      <c r="AU18" s="987">
        <f t="shared" ref="AU18:BA18" si="20">AM18+AM19+AM20</f>
        <v>159079</v>
      </c>
      <c r="AV18" s="987">
        <f t="shared" si="20"/>
        <v>53291.464999999997</v>
      </c>
      <c r="AW18" s="987">
        <f t="shared" si="20"/>
        <v>159079</v>
      </c>
      <c r="AX18" s="987">
        <f t="shared" si="20"/>
        <v>0</v>
      </c>
      <c r="AY18" s="987">
        <f t="shared" si="20"/>
        <v>0</v>
      </c>
      <c r="AZ18" s="987">
        <f t="shared" si="20"/>
        <v>0</v>
      </c>
      <c r="BA18" s="987">
        <f t="shared" si="20"/>
        <v>-53291.464999999997</v>
      </c>
      <c r="BB18" s="211"/>
    </row>
    <row r="19" spans="1:54" s="9" customFormat="1" ht="37.5" customHeight="1" thickBot="1" x14ac:dyDescent="0.25">
      <c r="A19" s="1083"/>
      <c r="B19" s="1079"/>
      <c r="C19" s="1028"/>
      <c r="D19" s="1084"/>
      <c r="E19" s="106" t="s">
        <v>18</v>
      </c>
      <c r="F19" s="114" t="s">
        <v>393</v>
      </c>
      <c r="G19" s="105" t="s">
        <v>694</v>
      </c>
      <c r="H19" s="37"/>
      <c r="I19" s="2"/>
      <c r="J19" s="2"/>
      <c r="K19" s="167">
        <f t="shared" si="12"/>
        <v>0</v>
      </c>
      <c r="L19" s="8">
        <v>7</v>
      </c>
      <c r="M19" s="8">
        <v>47</v>
      </c>
      <c r="N19" s="8">
        <v>20</v>
      </c>
      <c r="O19" s="8">
        <v>0</v>
      </c>
      <c r="P19" s="8">
        <v>0</v>
      </c>
      <c r="Q19" s="8">
        <v>0</v>
      </c>
      <c r="R19" s="8">
        <v>235</v>
      </c>
      <c r="S19" s="8">
        <v>65</v>
      </c>
      <c r="T19" s="68">
        <f t="shared" si="19"/>
        <v>54285</v>
      </c>
      <c r="U19" s="39"/>
      <c r="V19" s="39"/>
      <c r="W19" s="58">
        <f t="shared" si="13"/>
        <v>0</v>
      </c>
      <c r="X19" s="39"/>
      <c r="Y19" s="39"/>
      <c r="Z19" s="58">
        <f t="shared" si="18"/>
        <v>0</v>
      </c>
      <c r="AA19" s="42"/>
      <c r="AB19" s="42"/>
      <c r="AC19" s="58">
        <f t="shared" si="14"/>
        <v>0</v>
      </c>
      <c r="AD19" s="58"/>
      <c r="AE19" s="58"/>
      <c r="AF19" s="642"/>
      <c r="AG19" s="642"/>
      <c r="AH19" s="58">
        <f t="shared" si="15"/>
        <v>0</v>
      </c>
      <c r="AI19" s="642"/>
      <c r="AJ19" s="642"/>
      <c r="AK19" s="58">
        <f t="shared" si="16"/>
        <v>0</v>
      </c>
      <c r="AL19" s="58">
        <v>20464</v>
      </c>
      <c r="AM19" s="68">
        <f t="shared" si="7"/>
        <v>74749</v>
      </c>
      <c r="AN19" s="71">
        <f>AM19*0.67/2</f>
        <v>25040.915000000001</v>
      </c>
      <c r="AO19" s="1067"/>
      <c r="AP19" s="342"/>
      <c r="AQ19" s="342"/>
      <c r="AR19" s="74"/>
      <c r="AS19" s="1063"/>
      <c r="AU19" s="1065"/>
      <c r="AV19" s="1065"/>
      <c r="AW19" s="1065"/>
      <c r="AX19" s="1065"/>
      <c r="AY19" s="1065"/>
      <c r="AZ19" s="1065"/>
      <c r="BA19" s="1065"/>
      <c r="BB19" s="211"/>
    </row>
    <row r="20" spans="1:54" s="9" customFormat="1" ht="39.75" customHeight="1" thickBot="1" x14ac:dyDescent="0.25">
      <c r="A20" s="1083"/>
      <c r="B20" s="1079"/>
      <c r="C20" s="1061"/>
      <c r="D20" s="1060"/>
      <c r="E20" s="109" t="s">
        <v>47</v>
      </c>
      <c r="F20" s="107" t="s">
        <v>391</v>
      </c>
      <c r="G20" s="105" t="s">
        <v>694</v>
      </c>
      <c r="H20" s="135"/>
      <c r="I20" s="136"/>
      <c r="J20" s="136"/>
      <c r="K20" s="184">
        <f t="shared" si="12"/>
        <v>0</v>
      </c>
      <c r="L20" s="137">
        <v>48</v>
      </c>
      <c r="M20" s="138">
        <v>10</v>
      </c>
      <c r="N20" s="140">
        <v>20</v>
      </c>
      <c r="O20" s="77">
        <v>0</v>
      </c>
      <c r="P20" s="77">
        <v>0</v>
      </c>
      <c r="Q20" s="77">
        <v>0</v>
      </c>
      <c r="R20" s="140">
        <v>50</v>
      </c>
      <c r="S20" s="140">
        <v>65</v>
      </c>
      <c r="T20" s="68">
        <f t="shared" si="19"/>
        <v>79200</v>
      </c>
      <c r="U20" s="77"/>
      <c r="V20" s="77"/>
      <c r="W20" s="64">
        <f t="shared" si="13"/>
        <v>0</v>
      </c>
      <c r="X20" s="77"/>
      <c r="Y20" s="77"/>
      <c r="Z20" s="64">
        <f t="shared" si="18"/>
        <v>0</v>
      </c>
      <c r="AA20" s="78"/>
      <c r="AB20" s="78"/>
      <c r="AC20" s="64">
        <f t="shared" si="14"/>
        <v>0</v>
      </c>
      <c r="AD20" s="79"/>
      <c r="AE20" s="79"/>
      <c r="AF20" s="641"/>
      <c r="AG20" s="641"/>
      <c r="AH20" s="64">
        <f t="shared" si="15"/>
        <v>0</v>
      </c>
      <c r="AI20" s="641"/>
      <c r="AJ20" s="641"/>
      <c r="AK20" s="64">
        <f t="shared" si="16"/>
        <v>0</v>
      </c>
      <c r="AL20" s="80"/>
      <c r="AM20" s="68">
        <f t="shared" si="7"/>
        <v>79200</v>
      </c>
      <c r="AN20" s="71">
        <f>AM20*0.67/2</f>
        <v>26532</v>
      </c>
      <c r="AO20" s="1068"/>
      <c r="AP20" s="343"/>
      <c r="AQ20" s="343"/>
      <c r="AR20" s="81"/>
      <c r="AS20" s="1064"/>
      <c r="AU20" s="1026"/>
      <c r="AV20" s="1026"/>
      <c r="AW20" s="1026"/>
      <c r="AX20" s="1026"/>
      <c r="AY20" s="1026"/>
      <c r="AZ20" s="1026"/>
      <c r="BA20" s="1026"/>
      <c r="BB20" s="211"/>
    </row>
    <row r="21" spans="1:54" s="9" customFormat="1" ht="34.5" customHeight="1" thickBot="1" x14ac:dyDescent="0.25">
      <c r="A21" s="1083"/>
      <c r="B21" s="1079"/>
      <c r="C21" s="1027">
        <v>2.2999999999999998</v>
      </c>
      <c r="D21" s="1059" t="s">
        <v>385</v>
      </c>
      <c r="E21" s="105" t="s">
        <v>48</v>
      </c>
      <c r="F21" s="115" t="s">
        <v>394</v>
      </c>
      <c r="G21" s="105" t="s">
        <v>694</v>
      </c>
      <c r="H21" s="128"/>
      <c r="I21" s="129"/>
      <c r="J21" s="129"/>
      <c r="K21" s="130">
        <f t="shared" si="12"/>
        <v>0</v>
      </c>
      <c r="L21" s="131"/>
      <c r="M21" s="131"/>
      <c r="N21" s="131"/>
      <c r="O21" s="131"/>
      <c r="P21" s="131"/>
      <c r="Q21" s="131"/>
      <c r="R21" s="131"/>
      <c r="S21" s="131"/>
      <c r="T21" s="68">
        <f t="shared" si="19"/>
        <v>0</v>
      </c>
      <c r="U21" s="69"/>
      <c r="V21" s="69"/>
      <c r="W21" s="68">
        <f t="shared" si="13"/>
        <v>0</v>
      </c>
      <c r="X21" s="69"/>
      <c r="Y21" s="69"/>
      <c r="Z21" s="68">
        <f t="shared" si="18"/>
        <v>0</v>
      </c>
      <c r="AA21" s="70"/>
      <c r="AB21" s="70"/>
      <c r="AC21" s="68">
        <f t="shared" si="14"/>
        <v>0</v>
      </c>
      <c r="AD21" s="68"/>
      <c r="AE21" s="68"/>
      <c r="AF21" s="89"/>
      <c r="AG21" s="89"/>
      <c r="AH21" s="68">
        <f t="shared" si="15"/>
        <v>0</v>
      </c>
      <c r="AI21" s="89"/>
      <c r="AJ21" s="89"/>
      <c r="AK21" s="68">
        <f t="shared" si="16"/>
        <v>0</v>
      </c>
      <c r="AL21" s="68"/>
      <c r="AM21" s="68">
        <f t="shared" si="7"/>
        <v>0</v>
      </c>
      <c r="AN21" s="71"/>
      <c r="AO21" s="71"/>
      <c r="AP21" s="71"/>
      <c r="AQ21" s="71"/>
      <c r="AR21" s="71"/>
      <c r="AS21" s="72">
        <f t="shared" si="8"/>
        <v>0</v>
      </c>
      <c r="AU21" s="987">
        <f t="shared" ref="AU21:BA21" si="21">AM21+AM22</f>
        <v>6900</v>
      </c>
      <c r="AV21" s="987">
        <f t="shared" si="21"/>
        <v>2311.5</v>
      </c>
      <c r="AW21" s="987">
        <f t="shared" si="21"/>
        <v>0</v>
      </c>
      <c r="AX21" s="987">
        <f t="shared" si="21"/>
        <v>0</v>
      </c>
      <c r="AY21" s="987">
        <f t="shared" si="21"/>
        <v>0</v>
      </c>
      <c r="AZ21" s="987">
        <f t="shared" si="21"/>
        <v>0</v>
      </c>
      <c r="BA21" s="987">
        <f t="shared" si="21"/>
        <v>4588.5</v>
      </c>
      <c r="BB21" s="211"/>
    </row>
    <row r="22" spans="1:54" s="9" customFormat="1" ht="55.5" customHeight="1" thickBot="1" x14ac:dyDescent="0.25">
      <c r="A22" s="1083"/>
      <c r="B22" s="1079"/>
      <c r="C22" s="1028"/>
      <c r="D22" s="1084"/>
      <c r="E22" s="106" t="s">
        <v>49</v>
      </c>
      <c r="F22" s="106" t="s">
        <v>395</v>
      </c>
      <c r="G22" s="106"/>
      <c r="H22" s="37"/>
      <c r="I22" s="2"/>
      <c r="J22" s="2"/>
      <c r="K22" s="167">
        <f t="shared" si="12"/>
        <v>0</v>
      </c>
      <c r="L22" s="8"/>
      <c r="M22" s="8"/>
      <c r="N22" s="8"/>
      <c r="O22" s="8"/>
      <c r="P22" s="8"/>
      <c r="Q22" s="8"/>
      <c r="R22" s="8"/>
      <c r="S22" s="8"/>
      <c r="T22" s="68">
        <f t="shared" si="19"/>
        <v>0</v>
      </c>
      <c r="U22" s="39"/>
      <c r="V22" s="39"/>
      <c r="W22" s="58">
        <f t="shared" si="13"/>
        <v>0</v>
      </c>
      <c r="X22" s="39"/>
      <c r="Y22" s="39"/>
      <c r="Z22" s="58">
        <f t="shared" si="18"/>
        <v>0</v>
      </c>
      <c r="AA22" s="42"/>
      <c r="AB22" s="42"/>
      <c r="AC22" s="58">
        <f t="shared" si="14"/>
        <v>0</v>
      </c>
      <c r="AD22" s="58"/>
      <c r="AE22" s="58"/>
      <c r="AF22" s="642"/>
      <c r="AG22" s="642"/>
      <c r="AH22" s="58">
        <f t="shared" si="15"/>
        <v>0</v>
      </c>
      <c r="AI22" s="642"/>
      <c r="AJ22" s="642"/>
      <c r="AK22" s="58">
        <f t="shared" si="16"/>
        <v>0</v>
      </c>
      <c r="AL22" s="58">
        <f>(3*2*500)+ (3*2*5*80)+(3*2*5*50)</f>
        <v>6900</v>
      </c>
      <c r="AM22" s="68">
        <f t="shared" si="7"/>
        <v>6900</v>
      </c>
      <c r="AN22" s="71">
        <f>AM22*0.67/2</f>
        <v>2311.5</v>
      </c>
      <c r="AO22" s="74"/>
      <c r="AP22" s="74"/>
      <c r="AQ22" s="74"/>
      <c r="AR22" s="74"/>
      <c r="AS22" s="72">
        <f t="shared" si="8"/>
        <v>4588.5</v>
      </c>
      <c r="AU22" s="1026"/>
      <c r="AV22" s="1026"/>
      <c r="AW22" s="1026"/>
      <c r="AX22" s="1026"/>
      <c r="AY22" s="1026"/>
      <c r="AZ22" s="1026"/>
      <c r="BA22" s="1026"/>
      <c r="BB22" s="211"/>
    </row>
    <row r="23" spans="1:54" s="66" customFormat="1" ht="48.75" customHeight="1" thickBot="1" x14ac:dyDescent="0.25">
      <c r="A23" s="1083"/>
      <c r="B23" s="1079"/>
      <c r="C23" s="1027">
        <v>2.4</v>
      </c>
      <c r="D23" s="1059" t="s">
        <v>386</v>
      </c>
      <c r="E23" s="105" t="s">
        <v>50</v>
      </c>
      <c r="F23" s="105" t="s">
        <v>396</v>
      </c>
      <c r="G23" s="105"/>
      <c r="H23" s="128"/>
      <c r="I23" s="129"/>
      <c r="J23" s="129"/>
      <c r="K23" s="130">
        <f t="shared" si="12"/>
        <v>0</v>
      </c>
      <c r="L23" s="131"/>
      <c r="M23" s="131"/>
      <c r="N23" s="131"/>
      <c r="O23" s="131"/>
      <c r="P23" s="131"/>
      <c r="Q23" s="131"/>
      <c r="R23" s="131"/>
      <c r="S23" s="131"/>
      <c r="T23" s="68">
        <f t="shared" si="19"/>
        <v>0</v>
      </c>
      <c r="U23" s="69">
        <v>10</v>
      </c>
      <c r="V23" s="69">
        <v>350</v>
      </c>
      <c r="W23" s="68">
        <f t="shared" si="13"/>
        <v>3500</v>
      </c>
      <c r="X23" s="69">
        <v>25</v>
      </c>
      <c r="Y23" s="69">
        <v>1200</v>
      </c>
      <c r="Z23" s="68">
        <f t="shared" si="18"/>
        <v>30000</v>
      </c>
      <c r="AA23" s="70"/>
      <c r="AB23" s="70"/>
      <c r="AC23" s="68">
        <f t="shared" si="14"/>
        <v>0</v>
      </c>
      <c r="AD23" s="68"/>
      <c r="AE23" s="68"/>
      <c r="AF23" s="89"/>
      <c r="AG23" s="89"/>
      <c r="AH23" s="68">
        <f t="shared" si="15"/>
        <v>0</v>
      </c>
      <c r="AI23" s="89"/>
      <c r="AJ23" s="89"/>
      <c r="AK23" s="68">
        <f t="shared" si="16"/>
        <v>0</v>
      </c>
      <c r="AL23" s="68"/>
      <c r="AM23" s="68">
        <f t="shared" si="7"/>
        <v>33500</v>
      </c>
      <c r="AN23" s="71"/>
      <c r="AO23" s="71">
        <f>AM23</f>
        <v>33500</v>
      </c>
      <c r="AP23" s="71"/>
      <c r="AQ23" s="71"/>
      <c r="AR23" s="71"/>
      <c r="AS23" s="72">
        <f t="shared" si="8"/>
        <v>0</v>
      </c>
      <c r="AU23" s="987">
        <f t="shared" ref="AU23:BA23" si="22">AM23+AM24+AM25</f>
        <v>146000</v>
      </c>
      <c r="AV23" s="987">
        <f t="shared" si="22"/>
        <v>0</v>
      </c>
      <c r="AW23" s="987">
        <f t="shared" si="22"/>
        <v>146000</v>
      </c>
      <c r="AX23" s="987">
        <f t="shared" si="22"/>
        <v>0</v>
      </c>
      <c r="AY23" s="987">
        <f t="shared" si="22"/>
        <v>0</v>
      </c>
      <c r="AZ23" s="987">
        <f t="shared" si="22"/>
        <v>0</v>
      </c>
      <c r="BA23" s="987">
        <f t="shared" si="22"/>
        <v>0</v>
      </c>
      <c r="BB23" s="211"/>
    </row>
    <row r="24" spans="1:54" s="76" customFormat="1" ht="48" customHeight="1" thickBot="1" x14ac:dyDescent="0.25">
      <c r="A24" s="1083"/>
      <c r="B24" s="1079"/>
      <c r="C24" s="1028"/>
      <c r="D24" s="1084"/>
      <c r="E24" s="106" t="s">
        <v>51</v>
      </c>
      <c r="F24" s="106" t="s">
        <v>397</v>
      </c>
      <c r="G24" s="106" t="s">
        <v>30</v>
      </c>
      <c r="H24" s="37"/>
      <c r="I24" s="2"/>
      <c r="J24" s="2"/>
      <c r="K24" s="167">
        <f t="shared" si="12"/>
        <v>0</v>
      </c>
      <c r="L24" s="8"/>
      <c r="M24" s="8"/>
      <c r="N24" s="8"/>
      <c r="O24" s="8"/>
      <c r="P24" s="8"/>
      <c r="Q24" s="8"/>
      <c r="R24" s="8"/>
      <c r="S24" s="8"/>
      <c r="T24" s="68">
        <f t="shared" si="19"/>
        <v>0</v>
      </c>
      <c r="U24" s="39"/>
      <c r="V24" s="39"/>
      <c r="W24" s="58">
        <f t="shared" si="13"/>
        <v>0</v>
      </c>
      <c r="X24" s="39"/>
      <c r="Y24" s="39"/>
      <c r="Z24" s="58">
        <f t="shared" si="18"/>
        <v>0</v>
      </c>
      <c r="AA24" s="42"/>
      <c r="AB24" s="42"/>
      <c r="AC24" s="58">
        <f t="shared" si="14"/>
        <v>0</v>
      </c>
      <c r="AD24" s="58"/>
      <c r="AE24" s="58">
        <v>70000</v>
      </c>
      <c r="AF24" s="642">
        <v>50</v>
      </c>
      <c r="AG24" s="642">
        <v>600</v>
      </c>
      <c r="AH24" s="58">
        <f t="shared" si="15"/>
        <v>30000</v>
      </c>
      <c r="AI24" s="642">
        <v>50</v>
      </c>
      <c r="AJ24" s="642">
        <v>250</v>
      </c>
      <c r="AK24" s="58">
        <f t="shared" si="16"/>
        <v>12500</v>
      </c>
      <c r="AL24" s="58"/>
      <c r="AM24" s="68">
        <f t="shared" si="7"/>
        <v>112500</v>
      </c>
      <c r="AN24" s="74"/>
      <c r="AO24" s="74">
        <v>112500</v>
      </c>
      <c r="AP24" s="74"/>
      <c r="AQ24" s="74"/>
      <c r="AR24" s="74"/>
      <c r="AS24" s="72">
        <f t="shared" si="8"/>
        <v>0</v>
      </c>
      <c r="AU24" s="1065"/>
      <c r="AV24" s="1065"/>
      <c r="AW24" s="1065"/>
      <c r="AX24" s="1065"/>
      <c r="AY24" s="1065"/>
      <c r="AZ24" s="1065"/>
      <c r="BA24" s="1065"/>
      <c r="BB24" s="211"/>
    </row>
    <row r="25" spans="1:54" s="9" customFormat="1" ht="38.25" customHeight="1" thickBot="1" x14ac:dyDescent="0.25">
      <c r="A25" s="1088"/>
      <c r="B25" s="1080"/>
      <c r="C25" s="1061"/>
      <c r="D25" s="1060"/>
      <c r="E25" s="109" t="s">
        <v>52</v>
      </c>
      <c r="F25" s="109" t="s">
        <v>398</v>
      </c>
      <c r="G25" s="105" t="s">
        <v>694</v>
      </c>
      <c r="H25" s="135"/>
      <c r="I25" s="136"/>
      <c r="J25" s="136"/>
      <c r="K25" s="184">
        <f t="shared" si="12"/>
        <v>0</v>
      </c>
      <c r="L25" s="137"/>
      <c r="M25" s="138"/>
      <c r="N25" s="77"/>
      <c r="O25" s="77"/>
      <c r="P25" s="77"/>
      <c r="Q25" s="77"/>
      <c r="R25" s="77"/>
      <c r="S25" s="77"/>
      <c r="T25" s="68">
        <f t="shared" si="19"/>
        <v>0</v>
      </c>
      <c r="U25" s="77"/>
      <c r="V25" s="77"/>
      <c r="W25" s="64">
        <f t="shared" si="13"/>
        <v>0</v>
      </c>
      <c r="X25" s="77"/>
      <c r="Y25" s="77"/>
      <c r="Z25" s="64">
        <f t="shared" si="18"/>
        <v>0</v>
      </c>
      <c r="AA25" s="78"/>
      <c r="AB25" s="78"/>
      <c r="AC25" s="64">
        <f t="shared" si="14"/>
        <v>0</v>
      </c>
      <c r="AD25" s="79"/>
      <c r="AE25" s="79"/>
      <c r="AF25" s="641"/>
      <c r="AG25" s="641"/>
      <c r="AH25" s="64">
        <f t="shared" si="15"/>
        <v>0</v>
      </c>
      <c r="AI25" s="641"/>
      <c r="AJ25" s="641"/>
      <c r="AK25" s="64">
        <f t="shared" si="16"/>
        <v>0</v>
      </c>
      <c r="AL25" s="80"/>
      <c r="AM25" s="68">
        <f t="shared" si="7"/>
        <v>0</v>
      </c>
      <c r="AN25" s="81"/>
      <c r="AO25" s="81"/>
      <c r="AP25" s="81"/>
      <c r="AQ25" s="81"/>
      <c r="AR25" s="81"/>
      <c r="AS25" s="72">
        <f t="shared" si="8"/>
        <v>0</v>
      </c>
      <c r="AU25" s="1026"/>
      <c r="AV25" s="1026"/>
      <c r="AW25" s="1026"/>
      <c r="AX25" s="1026"/>
      <c r="AY25" s="1026"/>
      <c r="AZ25" s="1026"/>
      <c r="BA25" s="1026"/>
      <c r="BB25" s="211"/>
    </row>
    <row r="26" spans="1:54" s="9" customFormat="1" ht="39" customHeight="1" thickBot="1" x14ac:dyDescent="0.25">
      <c r="A26" s="1073">
        <v>3</v>
      </c>
      <c r="B26" s="1030" t="s">
        <v>582</v>
      </c>
      <c r="C26" s="1081">
        <v>3.1</v>
      </c>
      <c r="D26" s="1033" t="s">
        <v>696</v>
      </c>
      <c r="E26" s="106" t="s">
        <v>19</v>
      </c>
      <c r="F26" s="744" t="s">
        <v>583</v>
      </c>
      <c r="G26" s="105" t="s">
        <v>694</v>
      </c>
      <c r="H26" s="37"/>
      <c r="I26" s="144"/>
      <c r="J26" s="144"/>
      <c r="K26" s="167">
        <f t="shared" si="12"/>
        <v>0</v>
      </c>
      <c r="L26" s="8"/>
      <c r="M26" s="143"/>
      <c r="N26" s="90"/>
      <c r="O26" s="90"/>
      <c r="P26" s="90"/>
      <c r="Q26" s="90"/>
      <c r="R26" s="90"/>
      <c r="S26" s="90"/>
      <c r="T26" s="68">
        <f t="shared" si="19"/>
        <v>0</v>
      </c>
      <c r="U26" s="90"/>
      <c r="V26" s="90"/>
      <c r="W26" s="58">
        <f t="shared" si="13"/>
        <v>0</v>
      </c>
      <c r="X26" s="90"/>
      <c r="Y26" s="90"/>
      <c r="Z26" s="58">
        <f t="shared" si="18"/>
        <v>0</v>
      </c>
      <c r="AA26" s="91"/>
      <c r="AB26" s="91"/>
      <c r="AC26" s="58">
        <f t="shared" si="14"/>
        <v>0</v>
      </c>
      <c r="AD26" s="92"/>
      <c r="AE26" s="92"/>
      <c r="AF26" s="644"/>
      <c r="AG26" s="644"/>
      <c r="AH26" s="58">
        <f t="shared" si="15"/>
        <v>0</v>
      </c>
      <c r="AI26" s="644"/>
      <c r="AJ26" s="644"/>
      <c r="AK26" s="58">
        <f t="shared" si="16"/>
        <v>0</v>
      </c>
      <c r="AL26" s="93"/>
      <c r="AM26" s="68">
        <f t="shared" si="7"/>
        <v>0</v>
      </c>
      <c r="AN26" s="74"/>
      <c r="AO26" s="74"/>
      <c r="AP26" s="74"/>
      <c r="AQ26" s="74"/>
      <c r="AR26" s="74"/>
      <c r="AS26" s="72">
        <f t="shared" si="8"/>
        <v>0</v>
      </c>
      <c r="AU26" s="987">
        <f t="shared" ref="AU26:BA26" si="23">AM26+AM27+AM28</f>
        <v>0</v>
      </c>
      <c r="AV26" s="987">
        <f t="shared" si="23"/>
        <v>0</v>
      </c>
      <c r="AW26" s="987">
        <f t="shared" si="23"/>
        <v>0</v>
      </c>
      <c r="AX26" s="987">
        <f t="shared" si="23"/>
        <v>0</v>
      </c>
      <c r="AY26" s="987">
        <f t="shared" si="23"/>
        <v>0</v>
      </c>
      <c r="AZ26" s="987">
        <f t="shared" si="23"/>
        <v>0</v>
      </c>
      <c r="BA26" s="987">
        <f t="shared" si="23"/>
        <v>0</v>
      </c>
      <c r="BB26" s="211"/>
    </row>
    <row r="27" spans="1:54" ht="63.75" customHeight="1" thickBot="1" x14ac:dyDescent="0.25">
      <c r="A27" s="1074"/>
      <c r="B27" s="1031"/>
      <c r="C27" s="1082"/>
      <c r="D27" s="1034"/>
      <c r="E27" s="113" t="s">
        <v>20</v>
      </c>
      <c r="F27" s="113" t="s">
        <v>584</v>
      </c>
      <c r="G27" s="105" t="s">
        <v>694</v>
      </c>
      <c r="H27" s="132"/>
      <c r="I27" s="133"/>
      <c r="J27" s="133"/>
      <c r="K27" s="167">
        <f t="shared" si="12"/>
        <v>0</v>
      </c>
      <c r="L27" s="141"/>
      <c r="M27" s="141"/>
      <c r="N27" s="141"/>
      <c r="O27" s="141"/>
      <c r="P27" s="141"/>
      <c r="Q27" s="141"/>
      <c r="R27" s="141"/>
      <c r="S27" s="141"/>
      <c r="T27" s="68">
        <f t="shared" si="19"/>
        <v>0</v>
      </c>
      <c r="U27" s="85"/>
      <c r="V27" s="85"/>
      <c r="W27" s="86"/>
      <c r="X27" s="85"/>
      <c r="Y27" s="85"/>
      <c r="Z27" s="86"/>
      <c r="AA27" s="87"/>
      <c r="AB27" s="87"/>
      <c r="AC27" s="86"/>
      <c r="AD27" s="86"/>
      <c r="AE27" s="86"/>
      <c r="AF27" s="639"/>
      <c r="AG27" s="639"/>
      <c r="AH27" s="86"/>
      <c r="AI27" s="639"/>
      <c r="AJ27" s="639"/>
      <c r="AK27" s="86"/>
      <c r="AL27" s="86"/>
      <c r="AM27" s="68">
        <f t="shared" si="7"/>
        <v>0</v>
      </c>
      <c r="AN27" s="88"/>
      <c r="AO27" s="88"/>
      <c r="AP27" s="88"/>
      <c r="AQ27" s="88"/>
      <c r="AR27" s="88"/>
      <c r="AS27" s="72">
        <f t="shared" si="8"/>
        <v>0</v>
      </c>
      <c r="AU27" s="1065"/>
      <c r="AV27" s="1065"/>
      <c r="AW27" s="1065"/>
      <c r="AX27" s="1065"/>
      <c r="AY27" s="1065"/>
      <c r="AZ27" s="1065"/>
      <c r="BA27" s="1065"/>
      <c r="BB27" s="211"/>
    </row>
    <row r="28" spans="1:54" ht="63" customHeight="1" thickBot="1" x14ac:dyDescent="0.25">
      <c r="A28" s="1074"/>
      <c r="B28" s="1031"/>
      <c r="C28" s="1082"/>
      <c r="D28" s="1035"/>
      <c r="E28" s="106" t="s">
        <v>21</v>
      </c>
      <c r="F28" s="109" t="s">
        <v>585</v>
      </c>
      <c r="G28" s="105" t="s">
        <v>694</v>
      </c>
      <c r="H28" s="37"/>
      <c r="I28" s="2"/>
      <c r="J28" s="2"/>
      <c r="K28" s="167">
        <f>H28*I28*J28</f>
        <v>0</v>
      </c>
      <c r="L28" s="8"/>
      <c r="M28" s="8"/>
      <c r="N28" s="8"/>
      <c r="O28" s="8"/>
      <c r="P28" s="8"/>
      <c r="Q28" s="8"/>
      <c r="R28" s="8"/>
      <c r="S28" s="8"/>
      <c r="T28" s="68">
        <f t="shared" si="19"/>
        <v>0</v>
      </c>
      <c r="U28" s="39"/>
      <c r="V28" s="39"/>
      <c r="W28" s="58">
        <f>U28*V28</f>
        <v>0</v>
      </c>
      <c r="X28" s="39"/>
      <c r="Y28" s="39"/>
      <c r="Z28" s="58">
        <f>X28*Y28</f>
        <v>0</v>
      </c>
      <c r="AA28" s="42"/>
      <c r="AB28" s="42"/>
      <c r="AC28" s="58">
        <f>AA28*AB28</f>
        <v>0</v>
      </c>
      <c r="AD28" s="58"/>
      <c r="AE28" s="58"/>
      <c r="AF28" s="642"/>
      <c r="AG28" s="642"/>
      <c r="AH28" s="58">
        <f>AF28*AG28</f>
        <v>0</v>
      </c>
      <c r="AI28" s="642"/>
      <c r="AJ28" s="642"/>
      <c r="AK28" s="58">
        <f>AI28*AJ28</f>
        <v>0</v>
      </c>
      <c r="AL28" s="58"/>
      <c r="AM28" s="68">
        <f t="shared" si="7"/>
        <v>0</v>
      </c>
      <c r="AN28" s="74"/>
      <c r="AO28" s="74"/>
      <c r="AP28" s="74"/>
      <c r="AQ28" s="74"/>
      <c r="AR28" s="74"/>
      <c r="AS28" s="72">
        <f t="shared" si="8"/>
        <v>0</v>
      </c>
      <c r="AU28" s="1026"/>
      <c r="AV28" s="1026"/>
      <c r="AW28" s="1026"/>
      <c r="AX28" s="1026"/>
      <c r="AY28" s="1026"/>
      <c r="AZ28" s="1026"/>
      <c r="BA28" s="1026"/>
      <c r="BB28" s="211"/>
    </row>
    <row r="29" spans="1:54" ht="49.5" customHeight="1" thickBot="1" x14ac:dyDescent="0.25">
      <c r="A29" s="1074"/>
      <c r="B29" s="1031"/>
      <c r="C29" s="1076">
        <v>3.2</v>
      </c>
      <c r="D29" s="1033" t="s">
        <v>399</v>
      </c>
      <c r="E29" s="117" t="s">
        <v>22</v>
      </c>
      <c r="F29" s="745" t="s">
        <v>401</v>
      </c>
      <c r="G29" s="105"/>
      <c r="H29" s="128"/>
      <c r="I29" s="129"/>
      <c r="J29" s="129"/>
      <c r="K29" s="130">
        <f>H29*I29*J29</f>
        <v>0</v>
      </c>
      <c r="L29" s="131"/>
      <c r="M29" s="131"/>
      <c r="N29" s="131"/>
      <c r="O29" s="131"/>
      <c r="P29" s="131"/>
      <c r="Q29" s="131"/>
      <c r="R29" s="131"/>
      <c r="S29" s="141"/>
      <c r="T29" s="68">
        <f t="shared" si="19"/>
        <v>0</v>
      </c>
      <c r="U29" s="69"/>
      <c r="V29" s="69"/>
      <c r="W29" s="68">
        <f>U29*V29</f>
        <v>0</v>
      </c>
      <c r="X29" s="121"/>
      <c r="Y29" s="69"/>
      <c r="Z29" s="58">
        <f>X29*Y29</f>
        <v>0</v>
      </c>
      <c r="AA29" s="70"/>
      <c r="AB29" s="70"/>
      <c r="AC29" s="68">
        <f>AA29*AB29</f>
        <v>0</v>
      </c>
      <c r="AD29" s="68"/>
      <c r="AE29" s="68"/>
      <c r="AF29" s="642"/>
      <c r="AG29" s="642"/>
      <c r="AH29" s="68">
        <f t="shared" ref="AH29:AH42" si="24">AF29*AG29</f>
        <v>0</v>
      </c>
      <c r="AI29" s="642"/>
      <c r="AJ29" s="642"/>
      <c r="AK29" s="68">
        <f t="shared" ref="AK29:AK42" si="25">AI29*AJ29</f>
        <v>0</v>
      </c>
      <c r="AL29" s="68"/>
      <c r="AM29" s="68">
        <f t="shared" si="7"/>
        <v>0</v>
      </c>
      <c r="AN29" s="74"/>
      <c r="AO29" s="74"/>
      <c r="AP29" s="74"/>
      <c r="AQ29" s="74"/>
      <c r="AR29" s="74"/>
      <c r="AS29" s="72">
        <f t="shared" si="8"/>
        <v>0</v>
      </c>
      <c r="AU29" s="987">
        <f t="shared" ref="AU29:BA29" si="26">AM29+AM30+AM31+AM32</f>
        <v>0</v>
      </c>
      <c r="AV29" s="987">
        <f t="shared" si="26"/>
        <v>0</v>
      </c>
      <c r="AW29" s="987">
        <f t="shared" si="26"/>
        <v>0</v>
      </c>
      <c r="AX29" s="987">
        <f t="shared" si="26"/>
        <v>0</v>
      </c>
      <c r="AY29" s="987">
        <f t="shared" si="26"/>
        <v>0</v>
      </c>
      <c r="AZ29" s="987">
        <f t="shared" si="26"/>
        <v>0</v>
      </c>
      <c r="BA29" s="987">
        <f t="shared" si="26"/>
        <v>0</v>
      </c>
      <c r="BB29" s="211"/>
    </row>
    <row r="30" spans="1:54" ht="42" customHeight="1" thickBot="1" x14ac:dyDescent="0.25">
      <c r="A30" s="1074"/>
      <c r="B30" s="1031"/>
      <c r="C30" s="1077"/>
      <c r="D30" s="1034"/>
      <c r="E30" s="118" t="s">
        <v>23</v>
      </c>
      <c r="F30" s="113" t="s">
        <v>400</v>
      </c>
      <c r="G30" s="106"/>
      <c r="H30" s="132"/>
      <c r="I30" s="133"/>
      <c r="J30" s="133"/>
      <c r="K30" s="189"/>
      <c r="L30" s="141"/>
      <c r="M30" s="141"/>
      <c r="N30" s="141"/>
      <c r="O30" s="141"/>
      <c r="P30" s="141"/>
      <c r="Q30" s="141"/>
      <c r="R30" s="141"/>
      <c r="S30" s="141"/>
      <c r="T30" s="68">
        <f t="shared" si="19"/>
        <v>0</v>
      </c>
      <c r="U30" s="85"/>
      <c r="V30" s="85"/>
      <c r="W30" s="86"/>
      <c r="X30" s="121"/>
      <c r="Y30" s="85"/>
      <c r="Z30" s="58"/>
      <c r="AA30" s="87"/>
      <c r="AB30" s="87"/>
      <c r="AC30" s="86"/>
      <c r="AD30" s="86"/>
      <c r="AE30" s="86"/>
      <c r="AF30" s="642"/>
      <c r="AG30" s="642"/>
      <c r="AH30" s="86"/>
      <c r="AI30" s="642"/>
      <c r="AJ30" s="642"/>
      <c r="AK30" s="86"/>
      <c r="AL30" s="86"/>
      <c r="AM30" s="68">
        <f t="shared" si="7"/>
        <v>0</v>
      </c>
      <c r="AN30" s="74"/>
      <c r="AO30" s="74"/>
      <c r="AP30" s="74"/>
      <c r="AQ30" s="74"/>
      <c r="AR30" s="74"/>
      <c r="AS30" s="72">
        <f t="shared" si="8"/>
        <v>0</v>
      </c>
      <c r="AU30" s="1065"/>
      <c r="AV30" s="1065"/>
      <c r="AW30" s="1065"/>
      <c r="AX30" s="1065"/>
      <c r="AY30" s="1065"/>
      <c r="AZ30" s="1065"/>
      <c r="BA30" s="1065"/>
      <c r="BB30" s="211"/>
    </row>
    <row r="31" spans="1:54" ht="50.25" customHeight="1" thickBot="1" x14ac:dyDescent="0.25">
      <c r="A31" s="1074"/>
      <c r="B31" s="1031"/>
      <c r="C31" s="1077"/>
      <c r="D31" s="1034"/>
      <c r="E31" s="119" t="s">
        <v>53</v>
      </c>
      <c r="F31" s="113" t="s">
        <v>402</v>
      </c>
      <c r="G31" s="106"/>
      <c r="H31" s="37"/>
      <c r="I31" s="2"/>
      <c r="J31" s="2"/>
      <c r="K31" s="167">
        <f>H31*I31*J31</f>
        <v>0</v>
      </c>
      <c r="L31" s="8"/>
      <c r="M31" s="8"/>
      <c r="N31" s="8"/>
      <c r="O31" s="8"/>
      <c r="P31" s="8"/>
      <c r="Q31" s="8"/>
      <c r="R31" s="8"/>
      <c r="S31" s="8"/>
      <c r="T31" s="68">
        <f t="shared" si="19"/>
        <v>0</v>
      </c>
      <c r="U31" s="39"/>
      <c r="V31" s="39"/>
      <c r="W31" s="58">
        <f t="shared" ref="W31:W42" si="27">U31*V31</f>
        <v>0</v>
      </c>
      <c r="X31" s="121"/>
      <c r="Y31" s="39"/>
      <c r="Z31" s="58">
        <f>X31*Y31</f>
        <v>0</v>
      </c>
      <c r="AA31" s="42"/>
      <c r="AB31" s="42"/>
      <c r="AC31" s="58">
        <f>AA31*AB31</f>
        <v>0</v>
      </c>
      <c r="AD31" s="58"/>
      <c r="AE31" s="58"/>
      <c r="AF31" s="642"/>
      <c r="AG31" s="642"/>
      <c r="AH31" s="58">
        <f t="shared" si="24"/>
        <v>0</v>
      </c>
      <c r="AI31" s="642"/>
      <c r="AJ31" s="642"/>
      <c r="AK31" s="58">
        <f t="shared" si="25"/>
        <v>0</v>
      </c>
      <c r="AL31" s="58"/>
      <c r="AM31" s="68">
        <f t="shared" si="7"/>
        <v>0</v>
      </c>
      <c r="AN31" s="74"/>
      <c r="AO31" s="74"/>
      <c r="AP31" s="74"/>
      <c r="AQ31" s="74"/>
      <c r="AR31" s="74"/>
      <c r="AS31" s="72">
        <f t="shared" si="8"/>
        <v>0</v>
      </c>
      <c r="AU31" s="1065"/>
      <c r="AV31" s="1065"/>
      <c r="AW31" s="1065"/>
      <c r="AX31" s="1065"/>
      <c r="AY31" s="1065"/>
      <c r="AZ31" s="1065"/>
      <c r="BA31" s="1065"/>
      <c r="BB31" s="211"/>
    </row>
    <row r="32" spans="1:54" ht="53.25" customHeight="1" thickBot="1" x14ac:dyDescent="0.25">
      <c r="A32" s="1075"/>
      <c r="B32" s="1032"/>
      <c r="C32" s="1078"/>
      <c r="D32" s="1087"/>
      <c r="E32" s="106" t="s">
        <v>54</v>
      </c>
      <c r="F32" s="746" t="s">
        <v>403</v>
      </c>
      <c r="G32" s="105" t="s">
        <v>694</v>
      </c>
      <c r="H32" s="142"/>
      <c r="I32" s="159"/>
      <c r="J32" s="159"/>
      <c r="K32" s="195"/>
      <c r="L32" s="160"/>
      <c r="M32" s="160"/>
      <c r="N32" s="160"/>
      <c r="O32" s="160"/>
      <c r="P32" s="160"/>
      <c r="Q32" s="160"/>
      <c r="R32" s="160"/>
      <c r="S32" s="160"/>
      <c r="T32" s="68">
        <f t="shared" si="19"/>
        <v>0</v>
      </c>
      <c r="U32" s="94"/>
      <c r="V32" s="94"/>
      <c r="W32" s="95"/>
      <c r="X32" s="94"/>
      <c r="Y32" s="94"/>
      <c r="Z32" s="95"/>
      <c r="AA32" s="96"/>
      <c r="AB32" s="96"/>
      <c r="AC32" s="95"/>
      <c r="AD32" s="95"/>
      <c r="AE32" s="95"/>
      <c r="AF32" s="645"/>
      <c r="AG32" s="645"/>
      <c r="AH32" s="95"/>
      <c r="AI32" s="645"/>
      <c r="AJ32" s="645"/>
      <c r="AK32" s="95"/>
      <c r="AL32" s="95"/>
      <c r="AM32" s="68">
        <f t="shared" si="7"/>
        <v>0</v>
      </c>
      <c r="AN32" s="97"/>
      <c r="AO32" s="97"/>
      <c r="AP32" s="97"/>
      <c r="AQ32" s="97"/>
      <c r="AR32" s="97"/>
      <c r="AS32" s="72">
        <f t="shared" si="8"/>
        <v>0</v>
      </c>
      <c r="AU32" s="1026"/>
      <c r="AV32" s="1026"/>
      <c r="AW32" s="1026"/>
      <c r="AX32" s="1026"/>
      <c r="AY32" s="1026"/>
      <c r="AZ32" s="1026"/>
      <c r="BA32" s="1026"/>
      <c r="BB32" s="211"/>
    </row>
    <row r="33" spans="1:54" ht="48.75" customHeight="1" thickBot="1" x14ac:dyDescent="0.25">
      <c r="A33" s="1083">
        <v>4</v>
      </c>
      <c r="B33" s="1036" t="s">
        <v>586</v>
      </c>
      <c r="C33" s="1029">
        <v>4.0999999999999996</v>
      </c>
      <c r="D33" s="1085" t="s">
        <v>404</v>
      </c>
      <c r="E33" s="105" t="s">
        <v>24</v>
      </c>
      <c r="F33" s="105" t="s">
        <v>407</v>
      </c>
      <c r="G33" s="105" t="s">
        <v>694</v>
      </c>
      <c r="H33" s="128"/>
      <c r="I33" s="129"/>
      <c r="J33" s="129"/>
      <c r="K33" s="130">
        <f>H33*I33*J33</f>
        <v>0</v>
      </c>
      <c r="L33" s="131"/>
      <c r="M33" s="131"/>
      <c r="N33" s="131"/>
      <c r="O33" s="131"/>
      <c r="P33" s="131"/>
      <c r="Q33" s="131"/>
      <c r="R33" s="131"/>
      <c r="S33" s="141"/>
      <c r="T33" s="68">
        <f t="shared" si="19"/>
        <v>0</v>
      </c>
      <c r="U33" s="69"/>
      <c r="V33" s="69"/>
      <c r="W33" s="68">
        <f t="shared" si="27"/>
        <v>0</v>
      </c>
      <c r="X33" s="69"/>
      <c r="Y33" s="69"/>
      <c r="Z33" s="58">
        <f>X33*Y33</f>
        <v>0</v>
      </c>
      <c r="AA33" s="70"/>
      <c r="AB33" s="70"/>
      <c r="AC33" s="68">
        <f>AA33*AB33</f>
        <v>0</v>
      </c>
      <c r="AD33" s="68"/>
      <c r="AE33" s="68"/>
      <c r="AF33" s="642"/>
      <c r="AG33" s="642"/>
      <c r="AH33" s="68">
        <f t="shared" si="24"/>
        <v>0</v>
      </c>
      <c r="AI33" s="642"/>
      <c r="AJ33" s="642"/>
      <c r="AK33" s="68">
        <f t="shared" si="25"/>
        <v>0</v>
      </c>
      <c r="AL33" s="68">
        <v>9000</v>
      </c>
      <c r="AM33" s="68">
        <f t="shared" si="7"/>
        <v>9000</v>
      </c>
      <c r="AN33" s="71">
        <f>AM33*0.67</f>
        <v>6030</v>
      </c>
      <c r="AO33" s="74">
        <v>2970</v>
      </c>
      <c r="AP33" s="74"/>
      <c r="AQ33" s="74"/>
      <c r="AR33" s="74"/>
      <c r="AS33" s="72">
        <f t="shared" si="8"/>
        <v>0</v>
      </c>
      <c r="AU33" s="987">
        <f t="shared" ref="AU33:BA33" si="28">AM33+AM34</f>
        <v>18120</v>
      </c>
      <c r="AV33" s="987">
        <f t="shared" si="28"/>
        <v>12140.400000000001</v>
      </c>
      <c r="AW33" s="987">
        <f t="shared" si="28"/>
        <v>5980</v>
      </c>
      <c r="AX33" s="987">
        <f t="shared" si="28"/>
        <v>0</v>
      </c>
      <c r="AY33" s="987">
        <f t="shared" si="28"/>
        <v>0</v>
      </c>
      <c r="AZ33" s="987">
        <f t="shared" si="28"/>
        <v>0</v>
      </c>
      <c r="BA33" s="987">
        <f t="shared" si="28"/>
        <v>-0.4000000000005457</v>
      </c>
      <c r="BB33" s="211"/>
    </row>
    <row r="34" spans="1:54" ht="42.75" customHeight="1" thickBot="1" x14ac:dyDescent="0.25">
      <c r="A34" s="1083"/>
      <c r="B34" s="1036"/>
      <c r="C34" s="1029"/>
      <c r="D34" s="1085"/>
      <c r="E34" s="106" t="s">
        <v>55</v>
      </c>
      <c r="F34" s="747" t="s">
        <v>408</v>
      </c>
      <c r="G34" s="106" t="s">
        <v>638</v>
      </c>
      <c r="H34" s="37"/>
      <c r="I34" s="2"/>
      <c r="J34" s="2"/>
      <c r="K34" s="167">
        <f>H34*I34*J34</f>
        <v>0</v>
      </c>
      <c r="L34" s="8"/>
      <c r="M34" s="8"/>
      <c r="N34" s="8"/>
      <c r="O34" s="8"/>
      <c r="P34" s="8"/>
      <c r="Q34" s="8"/>
      <c r="R34" s="8"/>
      <c r="S34" s="8"/>
      <c r="T34" s="68">
        <f t="shared" si="19"/>
        <v>0</v>
      </c>
      <c r="U34" s="39"/>
      <c r="V34" s="39"/>
      <c r="W34" s="58">
        <f t="shared" si="27"/>
        <v>0</v>
      </c>
      <c r="X34" s="39"/>
      <c r="Y34" s="39"/>
      <c r="Z34" s="58">
        <f>X34*Y34</f>
        <v>0</v>
      </c>
      <c r="AA34" s="42"/>
      <c r="AB34" s="42"/>
      <c r="AC34" s="58">
        <f>AA34*AB34</f>
        <v>0</v>
      </c>
      <c r="AD34" s="58"/>
      <c r="AE34" s="58"/>
      <c r="AF34" s="642"/>
      <c r="AG34" s="642"/>
      <c r="AH34" s="58">
        <f t="shared" si="24"/>
        <v>0</v>
      </c>
      <c r="AI34" s="642"/>
      <c r="AJ34" s="642"/>
      <c r="AK34" s="58">
        <f t="shared" si="25"/>
        <v>0</v>
      </c>
      <c r="AL34" s="58">
        <f>(12*1*500)+ (12*2*1*80)+(12*1*2*50)</f>
        <v>9120</v>
      </c>
      <c r="AM34" s="68">
        <f t="shared" si="7"/>
        <v>9120</v>
      </c>
      <c r="AN34" s="71">
        <f>AM34*0.67</f>
        <v>6110.4000000000005</v>
      </c>
      <c r="AO34" s="74">
        <v>3010</v>
      </c>
      <c r="AP34" s="74"/>
      <c r="AQ34" s="74"/>
      <c r="AR34" s="74"/>
      <c r="AS34" s="72">
        <f t="shared" si="8"/>
        <v>-0.4000000000005457</v>
      </c>
      <c r="AU34" s="1026"/>
      <c r="AV34" s="1026"/>
      <c r="AW34" s="1026"/>
      <c r="AX34" s="1026"/>
      <c r="AY34" s="1026"/>
      <c r="AZ34" s="1026"/>
      <c r="BA34" s="1026"/>
      <c r="BB34" s="211"/>
    </row>
    <row r="35" spans="1:54" ht="99.75" customHeight="1" thickBot="1" x14ac:dyDescent="0.25">
      <c r="A35" s="1083"/>
      <c r="B35" s="1036"/>
      <c r="C35" s="1029">
        <v>4.2</v>
      </c>
      <c r="D35" s="1086" t="s">
        <v>405</v>
      </c>
      <c r="E35" s="113" t="s">
        <v>25</v>
      </c>
      <c r="F35" s="748" t="s">
        <v>409</v>
      </c>
      <c r="G35" s="105" t="s">
        <v>694</v>
      </c>
      <c r="H35" s="132"/>
      <c r="I35" s="133"/>
      <c r="J35" s="133"/>
      <c r="K35" s="189"/>
      <c r="L35" s="141"/>
      <c r="M35" s="141"/>
      <c r="N35" s="141"/>
      <c r="O35" s="141"/>
      <c r="P35" s="141"/>
      <c r="Q35" s="141"/>
      <c r="R35" s="141"/>
      <c r="S35" s="141"/>
      <c r="T35" s="68">
        <f t="shared" si="19"/>
        <v>0</v>
      </c>
      <c r="U35" s="85">
        <v>20</v>
      </c>
      <c r="V35" s="85">
        <v>350</v>
      </c>
      <c r="W35" s="58">
        <f t="shared" si="27"/>
        <v>7000</v>
      </c>
      <c r="X35" s="85">
        <v>20</v>
      </c>
      <c r="Y35" s="85">
        <v>1200</v>
      </c>
      <c r="Z35" s="58">
        <f>X35*Y35</f>
        <v>24000</v>
      </c>
      <c r="AA35" s="87"/>
      <c r="AB35" s="87"/>
      <c r="AC35" s="86"/>
      <c r="AD35" s="86"/>
      <c r="AE35" s="86"/>
      <c r="AF35" s="642"/>
      <c r="AG35" s="642"/>
      <c r="AH35" s="86"/>
      <c r="AI35" s="642"/>
      <c r="AJ35" s="642"/>
      <c r="AK35" s="86"/>
      <c r="AL35" s="86">
        <v>2000</v>
      </c>
      <c r="AM35" s="68">
        <f t="shared" si="7"/>
        <v>33000</v>
      </c>
      <c r="AN35" s="74"/>
      <c r="AO35" s="74">
        <v>33000</v>
      </c>
      <c r="AP35" s="74"/>
      <c r="AQ35" s="74"/>
      <c r="AR35" s="74"/>
      <c r="AS35" s="72">
        <f t="shared" si="8"/>
        <v>0</v>
      </c>
      <c r="AU35" s="987">
        <f t="shared" ref="AU35:BA35" si="29">AM35+AM36</f>
        <v>33000</v>
      </c>
      <c r="AV35" s="987">
        <f t="shared" si="29"/>
        <v>0</v>
      </c>
      <c r="AW35" s="987">
        <f t="shared" si="29"/>
        <v>33000</v>
      </c>
      <c r="AX35" s="987">
        <f t="shared" si="29"/>
        <v>0</v>
      </c>
      <c r="AY35" s="987">
        <f t="shared" si="29"/>
        <v>0</v>
      </c>
      <c r="AZ35" s="987">
        <f t="shared" si="29"/>
        <v>0</v>
      </c>
      <c r="BA35" s="987">
        <f t="shared" si="29"/>
        <v>0</v>
      </c>
      <c r="BB35" s="211"/>
    </row>
    <row r="36" spans="1:54" ht="54" customHeight="1" thickBot="1" x14ac:dyDescent="0.25">
      <c r="A36" s="1083"/>
      <c r="B36" s="1036"/>
      <c r="C36" s="1029"/>
      <c r="D36" s="1087"/>
      <c r="E36" s="113" t="s">
        <v>26</v>
      </c>
      <c r="F36" s="749" t="s">
        <v>410</v>
      </c>
      <c r="G36" s="113" t="s">
        <v>30</v>
      </c>
      <c r="H36" s="132"/>
      <c r="I36" s="133"/>
      <c r="J36" s="133"/>
      <c r="K36" s="189"/>
      <c r="L36" s="141"/>
      <c r="M36" s="141"/>
      <c r="N36" s="141"/>
      <c r="O36" s="141"/>
      <c r="P36" s="141"/>
      <c r="Q36" s="141"/>
      <c r="R36" s="141"/>
      <c r="S36" s="141"/>
      <c r="T36" s="68">
        <f t="shared" si="19"/>
        <v>0</v>
      </c>
      <c r="U36" s="85"/>
      <c r="V36" s="85"/>
      <c r="W36" s="86"/>
      <c r="X36" s="85"/>
      <c r="Y36" s="85"/>
      <c r="Z36" s="58"/>
      <c r="AA36" s="87"/>
      <c r="AB36" s="87"/>
      <c r="AC36" s="86"/>
      <c r="AD36" s="86"/>
      <c r="AE36" s="86"/>
      <c r="AF36" s="642"/>
      <c r="AG36" s="642"/>
      <c r="AH36" s="86"/>
      <c r="AI36" s="642"/>
      <c r="AJ36" s="642"/>
      <c r="AK36" s="86"/>
      <c r="AL36" s="86"/>
      <c r="AM36" s="68">
        <f t="shared" si="7"/>
        <v>0</v>
      </c>
      <c r="AN36" s="74"/>
      <c r="AO36" s="74"/>
      <c r="AP36" s="74"/>
      <c r="AQ36" s="74"/>
      <c r="AR36" s="74"/>
      <c r="AS36" s="72">
        <f t="shared" si="8"/>
        <v>0</v>
      </c>
      <c r="AU36" s="1026"/>
      <c r="AV36" s="1026"/>
      <c r="AW36" s="1026"/>
      <c r="AX36" s="1026"/>
      <c r="AY36" s="1026"/>
      <c r="AZ36" s="1026"/>
      <c r="BA36" s="1026"/>
      <c r="BB36" s="211"/>
    </row>
    <row r="37" spans="1:54" ht="23.25" thickBot="1" x14ac:dyDescent="0.25">
      <c r="A37" s="1083"/>
      <c r="B37" s="1036"/>
      <c r="C37" s="1029">
        <v>4.3</v>
      </c>
      <c r="D37" s="1085" t="s">
        <v>406</v>
      </c>
      <c r="E37" s="105" t="s">
        <v>56</v>
      </c>
      <c r="F37" s="113" t="s">
        <v>411</v>
      </c>
      <c r="G37" s="105" t="s">
        <v>412</v>
      </c>
      <c r="H37" s="128"/>
      <c r="I37" s="129"/>
      <c r="J37" s="129"/>
      <c r="K37" s="130">
        <f t="shared" ref="K37:K43" si="30">H37*I37*J37</f>
        <v>0</v>
      </c>
      <c r="L37" s="131"/>
      <c r="M37" s="131"/>
      <c r="N37" s="131"/>
      <c r="O37" s="131"/>
      <c r="P37" s="131"/>
      <c r="Q37" s="131"/>
      <c r="R37" s="131"/>
      <c r="S37" s="141"/>
      <c r="T37" s="68">
        <f t="shared" si="19"/>
        <v>0</v>
      </c>
      <c r="U37" s="69"/>
      <c r="V37" s="69"/>
      <c r="W37" s="68">
        <f t="shared" si="27"/>
        <v>0</v>
      </c>
      <c r="X37" s="69"/>
      <c r="Y37" s="69"/>
      <c r="Z37" s="58">
        <f t="shared" ref="Z37:Z43" si="31">X37*Y37</f>
        <v>0</v>
      </c>
      <c r="AA37" s="70"/>
      <c r="AB37" s="70"/>
      <c r="AC37" s="68">
        <f t="shared" ref="AC37:AC43" si="32">AA37*AB37</f>
        <v>0</v>
      </c>
      <c r="AD37" s="68"/>
      <c r="AE37" s="68"/>
      <c r="AF37" s="89"/>
      <c r="AG37" s="89"/>
      <c r="AH37" s="68">
        <f t="shared" si="24"/>
        <v>0</v>
      </c>
      <c r="AI37" s="645"/>
      <c r="AJ37" s="645"/>
      <c r="AK37" s="68">
        <f t="shared" si="25"/>
        <v>0</v>
      </c>
      <c r="AL37" s="68">
        <v>25000</v>
      </c>
      <c r="AM37" s="68">
        <f t="shared" si="7"/>
        <v>25000</v>
      </c>
      <c r="AN37" s="74"/>
      <c r="AO37" s="74">
        <v>25000</v>
      </c>
      <c r="AP37" s="74"/>
      <c r="AQ37" s="74"/>
      <c r="AR37" s="74"/>
      <c r="AS37" s="72">
        <f t="shared" si="8"/>
        <v>0</v>
      </c>
      <c r="AU37" s="73">
        <f t="shared" ref="AU37:BA37" si="33">AM37</f>
        <v>25000</v>
      </c>
      <c r="AV37" s="73">
        <f t="shared" si="33"/>
        <v>0</v>
      </c>
      <c r="AW37" s="73">
        <f t="shared" si="33"/>
        <v>25000</v>
      </c>
      <c r="AX37" s="73">
        <f t="shared" si="33"/>
        <v>0</v>
      </c>
      <c r="AY37" s="73">
        <f t="shared" si="33"/>
        <v>0</v>
      </c>
      <c r="AZ37" s="73">
        <f t="shared" si="33"/>
        <v>0</v>
      </c>
      <c r="BA37" s="73">
        <f t="shared" si="33"/>
        <v>0</v>
      </c>
      <c r="BB37" s="211"/>
    </row>
    <row r="38" spans="1:54" ht="16.5" customHeight="1" thickBot="1" x14ac:dyDescent="0.25">
      <c r="A38" s="1083"/>
      <c r="B38" s="1036"/>
      <c r="C38" s="1029"/>
      <c r="D38" s="1085"/>
      <c r="E38" s="106"/>
      <c r="F38" s="106"/>
      <c r="G38" s="106"/>
      <c r="H38" s="37"/>
      <c r="I38" s="144"/>
      <c r="J38" s="144"/>
      <c r="K38" s="167">
        <f t="shared" si="30"/>
        <v>0</v>
      </c>
      <c r="L38" s="8"/>
      <c r="M38" s="143"/>
      <c r="N38" s="90"/>
      <c r="O38" s="90"/>
      <c r="P38" s="90"/>
      <c r="Q38" s="90"/>
      <c r="R38" s="90"/>
      <c r="S38" s="90"/>
      <c r="T38" s="68">
        <f t="shared" si="19"/>
        <v>0</v>
      </c>
      <c r="U38" s="90"/>
      <c r="V38" s="90"/>
      <c r="W38" s="58">
        <f t="shared" si="27"/>
        <v>0</v>
      </c>
      <c r="X38" s="90"/>
      <c r="Y38" s="90"/>
      <c r="Z38" s="58">
        <f t="shared" si="31"/>
        <v>0</v>
      </c>
      <c r="AA38" s="91"/>
      <c r="AB38" s="91"/>
      <c r="AC38" s="58">
        <f t="shared" si="32"/>
        <v>0</v>
      </c>
      <c r="AD38" s="92"/>
      <c r="AE38" s="92"/>
      <c r="AF38" s="644"/>
      <c r="AG38" s="644"/>
      <c r="AH38" s="58">
        <f t="shared" si="24"/>
        <v>0</v>
      </c>
      <c r="AI38" s="642"/>
      <c r="AJ38" s="642"/>
      <c r="AK38" s="58">
        <f t="shared" si="25"/>
        <v>0</v>
      </c>
      <c r="AL38" s="93"/>
      <c r="AM38" s="68">
        <f t="shared" si="7"/>
        <v>0</v>
      </c>
      <c r="AN38" s="74"/>
      <c r="AO38" s="74"/>
      <c r="AP38" s="74"/>
      <c r="AQ38" s="74"/>
      <c r="AR38" s="74"/>
      <c r="AS38" s="72">
        <f t="shared" si="8"/>
        <v>0</v>
      </c>
      <c r="AU38" s="73"/>
      <c r="AV38" s="74"/>
      <c r="AW38" s="75"/>
      <c r="AX38" s="75"/>
      <c r="AY38" s="75"/>
      <c r="AZ38" s="75"/>
      <c r="BA38" s="75"/>
      <c r="BB38" s="211"/>
    </row>
    <row r="39" spans="1:54" ht="54" customHeight="1" thickBot="1" x14ac:dyDescent="0.25">
      <c r="A39" s="1056">
        <v>5</v>
      </c>
      <c r="B39" s="1030" t="s">
        <v>413</v>
      </c>
      <c r="C39" s="1076">
        <v>5.0999999999999996</v>
      </c>
      <c r="D39" s="1033" t="s">
        <v>414</v>
      </c>
      <c r="E39" s="105" t="s">
        <v>57</v>
      </c>
      <c r="F39" s="113" t="s">
        <v>417</v>
      </c>
      <c r="G39" s="105" t="s">
        <v>619</v>
      </c>
      <c r="H39" s="128"/>
      <c r="I39" s="129"/>
      <c r="J39" s="129"/>
      <c r="K39" s="130">
        <f t="shared" si="30"/>
        <v>0</v>
      </c>
      <c r="L39" s="131"/>
      <c r="M39" s="131"/>
      <c r="N39" s="131"/>
      <c r="O39" s="131"/>
      <c r="P39" s="131"/>
      <c r="Q39" s="131"/>
      <c r="R39" s="131"/>
      <c r="S39" s="141"/>
      <c r="T39" s="68">
        <f t="shared" si="19"/>
        <v>0</v>
      </c>
      <c r="U39" s="69"/>
      <c r="V39" s="69"/>
      <c r="W39" s="68">
        <f t="shared" si="27"/>
        <v>0</v>
      </c>
      <c r="X39" s="69"/>
      <c r="Y39" s="69"/>
      <c r="Z39" s="58">
        <f t="shared" si="31"/>
        <v>0</v>
      </c>
      <c r="AA39" s="70"/>
      <c r="AB39" s="70"/>
      <c r="AC39" s="68">
        <f t="shared" si="32"/>
        <v>0</v>
      </c>
      <c r="AD39" s="68"/>
      <c r="AE39" s="68"/>
      <c r="AF39" s="89"/>
      <c r="AG39" s="89"/>
      <c r="AH39" s="68">
        <f t="shared" si="24"/>
        <v>0</v>
      </c>
      <c r="AI39" s="89"/>
      <c r="AJ39" s="89"/>
      <c r="AK39" s="68">
        <f t="shared" si="25"/>
        <v>0</v>
      </c>
      <c r="AL39" s="68"/>
      <c r="AM39" s="68">
        <f t="shared" si="7"/>
        <v>0</v>
      </c>
      <c r="AN39" s="74"/>
      <c r="AO39" s="74"/>
      <c r="AP39" s="74"/>
      <c r="AQ39" s="74"/>
      <c r="AR39" s="74"/>
      <c r="AS39" s="72">
        <f t="shared" si="8"/>
        <v>0</v>
      </c>
      <c r="AU39" s="1089">
        <f t="shared" ref="AU39:BA39" si="34">AM39+AM40</f>
        <v>0</v>
      </c>
      <c r="AV39" s="1089">
        <f t="shared" si="34"/>
        <v>0</v>
      </c>
      <c r="AW39" s="1089">
        <f t="shared" si="34"/>
        <v>0</v>
      </c>
      <c r="AX39" s="1089">
        <f t="shared" si="34"/>
        <v>0</v>
      </c>
      <c r="AY39" s="1089">
        <f t="shared" si="34"/>
        <v>0</v>
      </c>
      <c r="AZ39" s="1089">
        <f t="shared" si="34"/>
        <v>0</v>
      </c>
      <c r="BA39" s="1089">
        <f t="shared" si="34"/>
        <v>0</v>
      </c>
      <c r="BB39" s="211"/>
    </row>
    <row r="40" spans="1:54" ht="37.5" customHeight="1" thickBot="1" x14ac:dyDescent="0.25">
      <c r="A40" s="1057"/>
      <c r="B40" s="1031"/>
      <c r="C40" s="1077"/>
      <c r="D40" s="1034"/>
      <c r="E40" s="106" t="s">
        <v>58</v>
      </c>
      <c r="F40" s="109" t="s">
        <v>418</v>
      </c>
      <c r="G40" s="105" t="s">
        <v>694</v>
      </c>
      <c r="H40" s="37"/>
      <c r="I40" s="2"/>
      <c r="J40" s="2"/>
      <c r="K40" s="167">
        <f t="shared" si="30"/>
        <v>0</v>
      </c>
      <c r="L40" s="8"/>
      <c r="M40" s="8"/>
      <c r="N40" s="8"/>
      <c r="O40" s="8"/>
      <c r="P40" s="8"/>
      <c r="Q40" s="8"/>
      <c r="R40" s="8"/>
      <c r="S40" s="8"/>
      <c r="T40" s="68">
        <f t="shared" si="19"/>
        <v>0</v>
      </c>
      <c r="U40" s="39"/>
      <c r="V40" s="39"/>
      <c r="W40" s="58">
        <f t="shared" si="27"/>
        <v>0</v>
      </c>
      <c r="X40" s="39"/>
      <c r="Y40" s="39"/>
      <c r="Z40" s="58">
        <f t="shared" si="31"/>
        <v>0</v>
      </c>
      <c r="AA40" s="42"/>
      <c r="AB40" s="42"/>
      <c r="AC40" s="58">
        <f t="shared" si="32"/>
        <v>0</v>
      </c>
      <c r="AD40" s="58"/>
      <c r="AE40" s="58"/>
      <c r="AF40" s="642"/>
      <c r="AG40" s="642"/>
      <c r="AH40" s="58">
        <f t="shared" si="24"/>
        <v>0</v>
      </c>
      <c r="AI40" s="642"/>
      <c r="AJ40" s="642"/>
      <c r="AK40" s="58">
        <f t="shared" si="25"/>
        <v>0</v>
      </c>
      <c r="AL40" s="58"/>
      <c r="AM40" s="68">
        <f t="shared" si="7"/>
        <v>0</v>
      </c>
      <c r="AN40" s="74"/>
      <c r="AO40" s="74"/>
      <c r="AP40" s="74"/>
      <c r="AQ40" s="74"/>
      <c r="AR40" s="74"/>
      <c r="AS40" s="72">
        <f t="shared" si="8"/>
        <v>0</v>
      </c>
      <c r="AU40" s="1026"/>
      <c r="AV40" s="1026"/>
      <c r="AW40" s="1026"/>
      <c r="AX40" s="1026"/>
      <c r="AY40" s="1026"/>
      <c r="AZ40" s="1026"/>
      <c r="BA40" s="1026"/>
      <c r="BB40" s="211"/>
    </row>
    <row r="41" spans="1:54" ht="45" customHeight="1" thickBot="1" x14ac:dyDescent="0.25">
      <c r="A41" s="1057"/>
      <c r="B41" s="1031"/>
      <c r="C41" s="116">
        <v>5.2</v>
      </c>
      <c r="D41" s="738" t="s">
        <v>587</v>
      </c>
      <c r="E41" s="105" t="s">
        <v>59</v>
      </c>
      <c r="F41" s="125" t="s">
        <v>419</v>
      </c>
      <c r="G41" s="105" t="s">
        <v>420</v>
      </c>
      <c r="H41" s="128"/>
      <c r="I41" s="129"/>
      <c r="J41" s="129"/>
      <c r="K41" s="130">
        <f t="shared" si="30"/>
        <v>0</v>
      </c>
      <c r="L41" s="131"/>
      <c r="M41" s="131"/>
      <c r="N41" s="131"/>
      <c r="O41" s="131"/>
      <c r="P41" s="131"/>
      <c r="Q41" s="131"/>
      <c r="R41" s="131"/>
      <c r="S41" s="141"/>
      <c r="T41" s="68">
        <f t="shared" si="19"/>
        <v>0</v>
      </c>
      <c r="U41" s="69"/>
      <c r="V41" s="69"/>
      <c r="W41" s="68">
        <f t="shared" si="27"/>
        <v>0</v>
      </c>
      <c r="X41" s="69"/>
      <c r="Y41" s="69"/>
      <c r="Z41" s="58">
        <f t="shared" si="31"/>
        <v>0</v>
      </c>
      <c r="AA41" s="70"/>
      <c r="AB41" s="70"/>
      <c r="AC41" s="68">
        <f t="shared" si="32"/>
        <v>0</v>
      </c>
      <c r="AD41" s="68"/>
      <c r="AE41" s="68"/>
      <c r="AF41" s="89"/>
      <c r="AG41" s="89"/>
      <c r="AH41" s="68">
        <f t="shared" si="24"/>
        <v>0</v>
      </c>
      <c r="AI41" s="89"/>
      <c r="AJ41" s="89"/>
      <c r="AK41" s="68">
        <f t="shared" si="25"/>
        <v>0</v>
      </c>
      <c r="AL41" s="68"/>
      <c r="AM41" s="68">
        <f t="shared" si="7"/>
        <v>0</v>
      </c>
      <c r="AN41" s="74"/>
      <c r="AO41" s="74"/>
      <c r="AP41" s="74"/>
      <c r="AQ41" s="74"/>
      <c r="AR41" s="74"/>
      <c r="AS41" s="72">
        <f t="shared" si="8"/>
        <v>0</v>
      </c>
      <c r="AU41" s="73">
        <f t="shared" ref="AU41:BA41" si="35">AM41</f>
        <v>0</v>
      </c>
      <c r="AV41" s="73">
        <f t="shared" si="35"/>
        <v>0</v>
      </c>
      <c r="AW41" s="73">
        <f t="shared" si="35"/>
        <v>0</v>
      </c>
      <c r="AX41" s="73">
        <f t="shared" si="35"/>
        <v>0</v>
      </c>
      <c r="AY41" s="73">
        <f t="shared" si="35"/>
        <v>0</v>
      </c>
      <c r="AZ41" s="73">
        <f t="shared" si="35"/>
        <v>0</v>
      </c>
      <c r="BA41" s="73">
        <f t="shared" si="35"/>
        <v>0</v>
      </c>
      <c r="BB41" s="211"/>
    </row>
    <row r="42" spans="1:54" ht="55.5" customHeight="1" thickBot="1" x14ac:dyDescent="0.25">
      <c r="A42" s="1057"/>
      <c r="B42" s="1031"/>
      <c r="C42" s="1076">
        <v>5.3</v>
      </c>
      <c r="D42" s="1033" t="s">
        <v>415</v>
      </c>
      <c r="E42" s="105" t="s">
        <v>60</v>
      </c>
      <c r="F42" s="113" t="s">
        <v>421</v>
      </c>
      <c r="G42" s="105" t="s">
        <v>694</v>
      </c>
      <c r="H42" s="128">
        <v>1</v>
      </c>
      <c r="I42" s="129">
        <v>400</v>
      </c>
      <c r="J42" s="129">
        <v>60</v>
      </c>
      <c r="K42" s="130">
        <f t="shared" si="30"/>
        <v>24000</v>
      </c>
      <c r="L42" s="131"/>
      <c r="M42" s="131"/>
      <c r="N42" s="131"/>
      <c r="O42" s="131"/>
      <c r="P42" s="131"/>
      <c r="Q42" s="131"/>
      <c r="R42" s="131"/>
      <c r="S42" s="141"/>
      <c r="T42" s="68">
        <f t="shared" si="19"/>
        <v>0</v>
      </c>
      <c r="U42" s="69"/>
      <c r="V42" s="69"/>
      <c r="W42" s="68">
        <f t="shared" si="27"/>
        <v>0</v>
      </c>
      <c r="X42" s="69"/>
      <c r="Y42" s="69"/>
      <c r="Z42" s="58">
        <f t="shared" si="31"/>
        <v>0</v>
      </c>
      <c r="AA42" s="70">
        <v>200</v>
      </c>
      <c r="AB42" s="70">
        <v>20</v>
      </c>
      <c r="AC42" s="68">
        <f t="shared" si="32"/>
        <v>4000</v>
      </c>
      <c r="AD42" s="68"/>
      <c r="AE42" s="68"/>
      <c r="AF42" s="89"/>
      <c r="AG42" s="89"/>
      <c r="AH42" s="68">
        <f t="shared" si="24"/>
        <v>0</v>
      </c>
      <c r="AI42" s="89"/>
      <c r="AJ42" s="89"/>
      <c r="AK42" s="68">
        <f t="shared" si="25"/>
        <v>0</v>
      </c>
      <c r="AL42" s="68"/>
      <c r="AM42" s="68">
        <f t="shared" si="7"/>
        <v>28000</v>
      </c>
      <c r="AN42" s="74">
        <f>4000+9600</f>
        <v>13600</v>
      </c>
      <c r="AO42" s="74">
        <v>14400</v>
      </c>
      <c r="AP42" s="74"/>
      <c r="AQ42" s="74"/>
      <c r="AR42" s="74"/>
      <c r="AS42" s="72">
        <f t="shared" si="8"/>
        <v>0</v>
      </c>
      <c r="AU42" s="987">
        <f t="shared" ref="AU42:BA42" si="36">AM42+AM43</f>
        <v>40500</v>
      </c>
      <c r="AV42" s="987">
        <f t="shared" si="36"/>
        <v>26100</v>
      </c>
      <c r="AW42" s="987">
        <f t="shared" si="36"/>
        <v>14400</v>
      </c>
      <c r="AX42" s="987">
        <f t="shared" si="36"/>
        <v>0</v>
      </c>
      <c r="AY42" s="987">
        <f t="shared" si="36"/>
        <v>0</v>
      </c>
      <c r="AZ42" s="987">
        <f t="shared" si="36"/>
        <v>0</v>
      </c>
      <c r="BA42" s="987">
        <f t="shared" si="36"/>
        <v>0</v>
      </c>
      <c r="BB42" s="211"/>
    </row>
    <row r="43" spans="1:54" ht="60.75" customHeight="1" thickBot="1" x14ac:dyDescent="0.25">
      <c r="A43" s="1057"/>
      <c r="B43" s="1031"/>
      <c r="C43" s="1078"/>
      <c r="D43" s="1087"/>
      <c r="E43" s="106" t="s">
        <v>61</v>
      </c>
      <c r="F43" s="106" t="s">
        <v>422</v>
      </c>
      <c r="G43" s="105" t="s">
        <v>694</v>
      </c>
      <c r="H43" s="37"/>
      <c r="I43" s="2"/>
      <c r="J43" s="2"/>
      <c r="K43" s="167">
        <f t="shared" si="30"/>
        <v>0</v>
      </c>
      <c r="L43" s="8"/>
      <c r="M43" s="8"/>
      <c r="N43" s="8"/>
      <c r="O43" s="8"/>
      <c r="P43" s="8"/>
      <c r="Q43" s="8"/>
      <c r="R43" s="8"/>
      <c r="S43" s="8"/>
      <c r="T43" s="68">
        <f t="shared" si="19"/>
        <v>0</v>
      </c>
      <c r="U43" s="39"/>
      <c r="V43" s="39"/>
      <c r="W43" s="58">
        <f>U43*V43</f>
        <v>0</v>
      </c>
      <c r="X43" s="39"/>
      <c r="Y43" s="39"/>
      <c r="Z43" s="58">
        <f t="shared" si="31"/>
        <v>0</v>
      </c>
      <c r="AA43" s="42"/>
      <c r="AB43" s="42"/>
      <c r="AC43" s="58">
        <f t="shared" si="32"/>
        <v>0</v>
      </c>
      <c r="AD43" s="58"/>
      <c r="AE43" s="58"/>
      <c r="AF43" s="642">
        <v>10</v>
      </c>
      <c r="AG43" s="642">
        <v>900</v>
      </c>
      <c r="AH43" s="58">
        <f>AF43*AG43</f>
        <v>9000</v>
      </c>
      <c r="AI43" s="642">
        <v>10</v>
      </c>
      <c r="AJ43" s="642">
        <v>350</v>
      </c>
      <c r="AK43" s="58">
        <f>AI43*AJ43</f>
        <v>3500</v>
      </c>
      <c r="AL43" s="58"/>
      <c r="AM43" s="68">
        <f t="shared" si="7"/>
        <v>12500</v>
      </c>
      <c r="AN43" s="74">
        <v>12500</v>
      </c>
      <c r="AO43" s="74"/>
      <c r="AP43" s="74"/>
      <c r="AQ43" s="74"/>
      <c r="AR43" s="74"/>
      <c r="AS43" s="72">
        <f t="shared" si="8"/>
        <v>0</v>
      </c>
      <c r="AU43" s="1026"/>
      <c r="AV43" s="1026"/>
      <c r="AW43" s="1026"/>
      <c r="AX43" s="1026"/>
      <c r="AY43" s="1026"/>
      <c r="AZ43" s="1026"/>
      <c r="BA43" s="1026"/>
      <c r="BB43" s="211"/>
    </row>
    <row r="44" spans="1:54" ht="63.75" customHeight="1" x14ac:dyDescent="0.2">
      <c r="A44" s="1072"/>
      <c r="B44" s="1032"/>
      <c r="C44" s="120">
        <v>5.4</v>
      </c>
      <c r="D44" s="105" t="s">
        <v>416</v>
      </c>
      <c r="E44" s="106" t="s">
        <v>62</v>
      </c>
      <c r="F44" s="106" t="s">
        <v>423</v>
      </c>
      <c r="G44" s="105" t="s">
        <v>694</v>
      </c>
      <c r="H44" s="37"/>
      <c r="I44" s="37"/>
      <c r="J44" s="37"/>
      <c r="K44" s="167"/>
      <c r="L44" s="8"/>
      <c r="M44" s="8"/>
      <c r="N44" s="39"/>
      <c r="O44" s="39"/>
      <c r="P44" s="39"/>
      <c r="Q44" s="39"/>
      <c r="R44" s="39"/>
      <c r="S44" s="39"/>
      <c r="T44" s="68">
        <f t="shared" si="19"/>
        <v>0</v>
      </c>
      <c r="U44" s="39"/>
      <c r="V44" s="39"/>
      <c r="W44" s="58"/>
      <c r="X44" s="39"/>
      <c r="Y44" s="39"/>
      <c r="Z44" s="58"/>
      <c r="AA44" s="42"/>
      <c r="AB44" s="42"/>
      <c r="AC44" s="58"/>
      <c r="AD44" s="58">
        <v>70000</v>
      </c>
      <c r="AE44" s="58"/>
      <c r="AF44" s="642"/>
      <c r="AG44" s="642"/>
      <c r="AH44" s="58"/>
      <c r="AI44" s="642"/>
      <c r="AJ44" s="642"/>
      <c r="AK44" s="58">
        <f>AI44*AJ44</f>
        <v>0</v>
      </c>
      <c r="AL44" s="58"/>
      <c r="AM44" s="68">
        <f t="shared" si="7"/>
        <v>70000</v>
      </c>
      <c r="AN44" s="74">
        <v>70000</v>
      </c>
      <c r="AO44" s="74"/>
      <c r="AP44" s="74"/>
      <c r="AQ44" s="74"/>
      <c r="AR44" s="74"/>
      <c r="AS44" s="72">
        <f t="shared" si="8"/>
        <v>0</v>
      </c>
      <c r="AU44" s="98">
        <f t="shared" ref="AU44:BA44" si="37">AM44</f>
        <v>70000</v>
      </c>
      <c r="AV44" s="98">
        <f t="shared" si="37"/>
        <v>70000</v>
      </c>
      <c r="AW44" s="98">
        <f t="shared" si="37"/>
        <v>0</v>
      </c>
      <c r="AX44" s="98">
        <f t="shared" si="37"/>
        <v>0</v>
      </c>
      <c r="AY44" s="98">
        <f t="shared" si="37"/>
        <v>0</v>
      </c>
      <c r="AZ44" s="98">
        <f t="shared" si="37"/>
        <v>0</v>
      </c>
      <c r="BA44" s="98">
        <f t="shared" si="37"/>
        <v>0</v>
      </c>
      <c r="BB44" s="213"/>
    </row>
    <row r="45" spans="1:54" ht="24" customHeight="1" x14ac:dyDescent="0.2">
      <c r="B45" s="122"/>
      <c r="C45" s="122"/>
      <c r="D45" s="122"/>
      <c r="E45" s="122"/>
      <c r="F45" s="123"/>
      <c r="G45" s="123"/>
      <c r="H45" s="124"/>
      <c r="I45" s="124"/>
      <c r="J45" s="124"/>
      <c r="K45" s="124">
        <f>SUM(K8:K44)</f>
        <v>72000</v>
      </c>
      <c r="L45" s="124"/>
      <c r="M45" s="124"/>
      <c r="N45" s="124"/>
      <c r="O45" s="124"/>
      <c r="P45" s="124"/>
      <c r="Q45" s="124"/>
      <c r="R45" s="124"/>
      <c r="S45" s="124"/>
      <c r="T45" s="124">
        <f>SUM(T8:T44)</f>
        <v>501435</v>
      </c>
      <c r="U45" s="124"/>
      <c r="V45" s="124"/>
      <c r="W45" s="124">
        <f>SUM(W8:W44)</f>
        <v>15630</v>
      </c>
      <c r="X45" s="124"/>
      <c r="Y45" s="124"/>
      <c r="Z45" s="124">
        <f>SUM(Z8:Z44)</f>
        <v>124587</v>
      </c>
      <c r="AA45" s="124"/>
      <c r="AB45" s="124"/>
      <c r="AC45" s="124">
        <f>SUM(AC8:AC44)</f>
        <v>4000</v>
      </c>
      <c r="AD45" s="124">
        <f>SUM(AD8:AD44)</f>
        <v>70000</v>
      </c>
      <c r="AE45" s="124">
        <f>SUM(AE8:AE44)</f>
        <v>70000</v>
      </c>
      <c r="AF45" s="124"/>
      <c r="AG45" s="124"/>
      <c r="AH45" s="124">
        <f>SUM(AH8:AH44)</f>
        <v>39000</v>
      </c>
      <c r="AI45" s="124"/>
      <c r="AJ45" s="124"/>
      <c r="AK45" s="124">
        <f>SUM(AK8:AK44)</f>
        <v>16000</v>
      </c>
      <c r="AL45" s="124">
        <f>SUM(AL8:AL44)</f>
        <v>76479</v>
      </c>
      <c r="AM45" s="124">
        <f>SUM(AM8:AM44)</f>
        <v>989131</v>
      </c>
      <c r="AN45" s="124">
        <f t="shared" ref="AN45:AS45" si="38">SUM(AN8:AN44)</f>
        <v>317106.51500000001</v>
      </c>
      <c r="AO45" s="124">
        <f t="shared" si="38"/>
        <v>672024.25</v>
      </c>
      <c r="AP45" s="124">
        <f t="shared" si="38"/>
        <v>0</v>
      </c>
      <c r="AQ45" s="124">
        <f t="shared" si="38"/>
        <v>0</v>
      </c>
      <c r="AR45" s="124">
        <f t="shared" si="38"/>
        <v>0</v>
      </c>
      <c r="AS45" s="124">
        <f t="shared" si="38"/>
        <v>0.2349999999796637</v>
      </c>
      <c r="AT45" s="124"/>
      <c r="AU45" s="124">
        <f>SUM(AU8:AU44)</f>
        <v>989131</v>
      </c>
      <c r="AV45" s="124">
        <f>SUM(AV8:AV44)</f>
        <v>317106.51500000001</v>
      </c>
      <c r="AW45" s="124">
        <f>SUM(AW8:AW44)</f>
        <v>672024.25</v>
      </c>
      <c r="AX45" s="124"/>
      <c r="AY45" s="124"/>
      <c r="AZ45" s="124">
        <f>SUM(AZ8:AZ44)</f>
        <v>0</v>
      </c>
      <c r="BA45" s="124">
        <f>SUM(BA8:BA44)</f>
        <v>0.2349999999796637</v>
      </c>
    </row>
    <row r="46" spans="1:54" ht="16.5" customHeight="1" x14ac:dyDescent="0.2">
      <c r="BA46" s="214">
        <f>AS45-BA45</f>
        <v>0</v>
      </c>
    </row>
    <row r="47" spans="1:54" ht="16.5" customHeight="1" x14ac:dyDescent="0.2">
      <c r="AP47" s="35">
        <f>AN45+AO45+AP45+AQ45+AR45+AS45</f>
        <v>989131</v>
      </c>
      <c r="AX47" s="35">
        <f>AV45+AW45+BA45</f>
        <v>989131</v>
      </c>
    </row>
    <row r="52" spans="40:40" ht="16.5" customHeight="1" x14ac:dyDescent="0.2">
      <c r="AN52" s="35" t="s">
        <v>30</v>
      </c>
    </row>
  </sheetData>
  <mergeCells count="149">
    <mergeCell ref="AY35:AY36"/>
    <mergeCell ref="AU26:AU28"/>
    <mergeCell ref="AU33:AU34"/>
    <mergeCell ref="AV33:AV34"/>
    <mergeCell ref="AW33:AW34"/>
    <mergeCell ref="BA42:BA43"/>
    <mergeCell ref="AU35:AU36"/>
    <mergeCell ref="AV35:AV36"/>
    <mergeCell ref="AW35:AW36"/>
    <mergeCell ref="AZ35:AZ36"/>
    <mergeCell ref="BA35:BA36"/>
    <mergeCell ref="AX42:AX43"/>
    <mergeCell ref="AY42:AY43"/>
    <mergeCell ref="AU39:AU40"/>
    <mergeCell ref="AV39:AV40"/>
    <mergeCell ref="AW39:AW40"/>
    <mergeCell ref="AZ39:AZ40"/>
    <mergeCell ref="AU42:AU43"/>
    <mergeCell ref="AV42:AV43"/>
    <mergeCell ref="AW42:AW43"/>
    <mergeCell ref="AZ42:AZ43"/>
    <mergeCell ref="BA39:BA40"/>
    <mergeCell ref="AX39:AX40"/>
    <mergeCell ref="AY39:AY40"/>
    <mergeCell ref="AX35:AX36"/>
    <mergeCell ref="AZ8:AZ9"/>
    <mergeCell ref="AV26:AV28"/>
    <mergeCell ref="AW26:AW28"/>
    <mergeCell ref="AZ26:AZ28"/>
    <mergeCell ref="BA26:BA28"/>
    <mergeCell ref="BA18:BA20"/>
    <mergeCell ref="AU21:AU22"/>
    <mergeCell ref="AV21:AV22"/>
    <mergeCell ref="AW21:AW22"/>
    <mergeCell ref="AZ21:AZ22"/>
    <mergeCell ref="AV18:AV20"/>
    <mergeCell ref="AZ18:AZ20"/>
    <mergeCell ref="AY18:AY20"/>
    <mergeCell ref="AX21:AX22"/>
    <mergeCell ref="AY21:AY22"/>
    <mergeCell ref="BA21:BA22"/>
    <mergeCell ref="AZ23:AZ25"/>
    <mergeCell ref="AY23:AY25"/>
    <mergeCell ref="AX23:AX25"/>
    <mergeCell ref="AY15:AY17"/>
    <mergeCell ref="BA8:BA9"/>
    <mergeCell ref="AX18:AX20"/>
    <mergeCell ref="AU23:AU25"/>
    <mergeCell ref="AV23:AV25"/>
    <mergeCell ref="B39:B44"/>
    <mergeCell ref="D39:D40"/>
    <mergeCell ref="D42:D43"/>
    <mergeCell ref="D18:D20"/>
    <mergeCell ref="C37:C38"/>
    <mergeCell ref="C35:C36"/>
    <mergeCell ref="A15:A25"/>
    <mergeCell ref="AZ15:AZ17"/>
    <mergeCell ref="BA15:BA17"/>
    <mergeCell ref="AZ33:AZ34"/>
    <mergeCell ref="BA33:BA34"/>
    <mergeCell ref="AW23:AW25"/>
    <mergeCell ref="AX29:AX32"/>
    <mergeCell ref="AU29:AU32"/>
    <mergeCell ref="AV29:AV32"/>
    <mergeCell ref="AX33:AX34"/>
    <mergeCell ref="AY33:AY34"/>
    <mergeCell ref="AW29:AW32"/>
    <mergeCell ref="BA23:BA25"/>
    <mergeCell ref="AZ29:AZ32"/>
    <mergeCell ref="BA29:BA32"/>
    <mergeCell ref="AY29:AY32"/>
    <mergeCell ref="AX26:AX28"/>
    <mergeCell ref="AY26:AY28"/>
    <mergeCell ref="AX8:AX9"/>
    <mergeCell ref="AW13:AW14"/>
    <mergeCell ref="AX13:AX14"/>
    <mergeCell ref="AU15:AU17"/>
    <mergeCell ref="AV15:AV17"/>
    <mergeCell ref="AW15:AW17"/>
    <mergeCell ref="AO15:AO17"/>
    <mergeCell ref="A39:A44"/>
    <mergeCell ref="A26:A32"/>
    <mergeCell ref="C29:C32"/>
    <mergeCell ref="C23:C25"/>
    <mergeCell ref="C15:C17"/>
    <mergeCell ref="B15:B25"/>
    <mergeCell ref="C26:C28"/>
    <mergeCell ref="A33:A38"/>
    <mergeCell ref="D21:D22"/>
    <mergeCell ref="D23:D25"/>
    <mergeCell ref="D33:D34"/>
    <mergeCell ref="D35:D36"/>
    <mergeCell ref="D37:D38"/>
    <mergeCell ref="D29:D32"/>
    <mergeCell ref="D15:D17"/>
    <mergeCell ref="C42:C43"/>
    <mergeCell ref="C39:C40"/>
    <mergeCell ref="AS18:AS20"/>
    <mergeCell ref="AW18:AW20"/>
    <mergeCell ref="C18:C20"/>
    <mergeCell ref="D13:D14"/>
    <mergeCell ref="AR15:AR17"/>
    <mergeCell ref="AS15:AS17"/>
    <mergeCell ref="AU18:AU20"/>
    <mergeCell ref="AX15:AX17"/>
    <mergeCell ref="C13:C14"/>
    <mergeCell ref="AU13:AU14"/>
    <mergeCell ref="AV13:AV14"/>
    <mergeCell ref="AO18:AO20"/>
    <mergeCell ref="C21:C22"/>
    <mergeCell ref="C33:C34"/>
    <mergeCell ref="B26:B32"/>
    <mergeCell ref="D26:D28"/>
    <mergeCell ref="B33:B38"/>
    <mergeCell ref="AA4:AC5"/>
    <mergeCell ref="A4:A6"/>
    <mergeCell ref="B2:Q2"/>
    <mergeCell ref="A3:F3"/>
    <mergeCell ref="H3:K3"/>
    <mergeCell ref="L3:AC3"/>
    <mergeCell ref="U4:Z4"/>
    <mergeCell ref="A8:A14"/>
    <mergeCell ref="D8:D9"/>
    <mergeCell ref="C8:C9"/>
    <mergeCell ref="B8:B14"/>
    <mergeCell ref="AN3:AS5"/>
    <mergeCell ref="AZ13:AZ14"/>
    <mergeCell ref="BA13:BA14"/>
    <mergeCell ref="AU3:BA5"/>
    <mergeCell ref="B4:B6"/>
    <mergeCell ref="C4:D6"/>
    <mergeCell ref="E4:F6"/>
    <mergeCell ref="G5:G6"/>
    <mergeCell ref="U5:W5"/>
    <mergeCell ref="H4:K5"/>
    <mergeCell ref="L4:T5"/>
    <mergeCell ref="AL3:AL6"/>
    <mergeCell ref="AD5:AD6"/>
    <mergeCell ref="AD3:AK4"/>
    <mergeCell ref="AM3:AM6"/>
    <mergeCell ref="X5:Z5"/>
    <mergeCell ref="AE5:AE6"/>
    <mergeCell ref="AI5:AK5"/>
    <mergeCell ref="AF5:AH5"/>
    <mergeCell ref="AY13:AY14"/>
    <mergeCell ref="AY8:AY9"/>
    <mergeCell ref="AU8:AU9"/>
    <mergeCell ref="AV8:AV9"/>
    <mergeCell ref="AW8:AW9"/>
  </mergeCells>
  <pageMargins left="0.7" right="0.7" top="0.75" bottom="0.75" header="0.3" footer="0.3"/>
  <pageSetup orientation="portrait" horizontalDpi="4294967293" verticalDpi="429496729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95"/>
  <sheetViews>
    <sheetView topLeftCell="A76" zoomScale="117" zoomScaleNormal="117" workbookViewId="0">
      <selection activeCell="G78" sqref="G78"/>
    </sheetView>
  </sheetViews>
  <sheetFormatPr defaultColWidth="9.140625" defaultRowHeight="11.25" x14ac:dyDescent="0.25"/>
  <cols>
    <col min="1" max="1" width="6.28515625" style="23" customWidth="1"/>
    <col min="2" max="2" width="2.85546875" style="24" customWidth="1"/>
    <col min="3" max="3" width="4.7109375" style="23" customWidth="1"/>
    <col min="4" max="4" width="23.140625" style="535" customWidth="1"/>
    <col min="5" max="5" width="6.7109375" style="536" customWidth="1"/>
    <col min="6" max="6" width="30.140625" style="537" customWidth="1"/>
    <col min="7" max="7" width="14.85546875" style="145" customWidth="1"/>
    <col min="8" max="8" width="19.42578125" style="145" hidden="1" customWidth="1"/>
    <col min="9" max="9" width="5.85546875" style="538" customWidth="1"/>
    <col min="10" max="10" width="7.7109375" style="539" customWidth="1"/>
    <col min="11" max="11" width="7.28515625" style="539" customWidth="1"/>
    <col min="12" max="12" width="9.7109375" style="538" customWidth="1"/>
    <col min="13" max="13" width="11.7109375" style="540" customWidth="1"/>
    <col min="14" max="14" width="9.42578125" style="540" customWidth="1"/>
    <col min="15" max="15" width="10.85546875" style="540" customWidth="1"/>
    <col min="16" max="16" width="11.85546875" style="540" customWidth="1"/>
    <col min="17" max="17" width="14.140625" style="540" customWidth="1"/>
    <col min="18" max="18" width="12.140625" style="540" customWidth="1"/>
    <col min="19" max="19" width="11.42578125" style="540" customWidth="1"/>
    <col min="20" max="20" width="12.85546875" style="540" customWidth="1"/>
    <col min="21" max="21" width="10.7109375" style="541" customWidth="1"/>
    <col min="22" max="22" width="8" style="541" customWidth="1"/>
    <col min="23" max="23" width="8.42578125" style="541" customWidth="1"/>
    <col min="24" max="24" width="11.7109375" style="541" customWidth="1"/>
    <col min="25" max="25" width="14" style="542" customWidth="1"/>
    <col min="26" max="26" width="11" style="542" customWidth="1"/>
    <col min="27" max="27" width="12.85546875" style="542" customWidth="1"/>
    <col min="28" max="28" width="10.42578125" style="542" customWidth="1"/>
    <col min="29" max="29" width="10.28515625" style="542" customWidth="1"/>
    <col min="30" max="30" width="15.42578125" style="542" customWidth="1"/>
    <col min="31" max="31" width="15.28515625" style="542" customWidth="1"/>
    <col min="32" max="32" width="15.140625" style="542" customWidth="1"/>
    <col min="33" max="33" width="7.28515625" style="542" customWidth="1"/>
    <col min="34" max="34" width="13.140625" style="542" customWidth="1"/>
    <col min="35" max="35" width="9.28515625" style="542" customWidth="1"/>
    <col min="36" max="36" width="6.85546875" style="542" customWidth="1"/>
    <col min="37" max="37" width="11" style="542" customWidth="1"/>
    <col min="38" max="38" width="10.7109375" style="542" customWidth="1"/>
    <col min="39" max="39" width="13.42578125" style="543" customWidth="1"/>
    <col min="40" max="40" width="16.42578125" style="542" customWidth="1"/>
    <col min="41" max="41" width="12.42578125" style="542" customWidth="1"/>
    <col min="42" max="43" width="10.140625" style="542" customWidth="1"/>
    <col min="44" max="45" width="10.28515625" style="542" customWidth="1"/>
    <col min="46" max="46" width="12.28515625" style="544" customWidth="1"/>
    <col min="47" max="16384" width="9.140625" style="23"/>
  </cols>
  <sheetData>
    <row r="1" spans="1:46" s="55" customFormat="1" x14ac:dyDescent="0.25">
      <c r="B1" s="57"/>
      <c r="D1" s="198"/>
      <c r="E1" s="509"/>
      <c r="F1" s="510"/>
      <c r="G1" s="127"/>
      <c r="H1" s="127"/>
      <c r="I1" s="511"/>
      <c r="J1" s="512"/>
      <c r="K1" s="512"/>
      <c r="L1" s="511"/>
      <c r="M1" s="513"/>
      <c r="N1" s="513"/>
      <c r="O1" s="513"/>
      <c r="P1" s="513"/>
      <c r="Q1" s="513"/>
      <c r="R1" s="513"/>
      <c r="S1" s="513"/>
      <c r="T1" s="513"/>
      <c r="U1" s="514"/>
      <c r="V1" s="514"/>
      <c r="W1" s="514"/>
      <c r="X1" s="514"/>
      <c r="Y1" s="515"/>
      <c r="Z1" s="515"/>
      <c r="AA1" s="515"/>
      <c r="AB1" s="515"/>
      <c r="AC1" s="515"/>
      <c r="AD1" s="515"/>
      <c r="AE1" s="515"/>
      <c r="AF1" s="515"/>
      <c r="AG1" s="515"/>
      <c r="AH1" s="515"/>
      <c r="AI1" s="515"/>
      <c r="AJ1" s="515"/>
      <c r="AK1" s="515"/>
      <c r="AL1" s="515"/>
      <c r="AM1" s="516"/>
      <c r="AN1" s="515"/>
      <c r="AO1" s="515"/>
      <c r="AP1" s="515"/>
      <c r="AQ1" s="515"/>
      <c r="AR1" s="515"/>
      <c r="AS1" s="515"/>
      <c r="AT1" s="517"/>
    </row>
    <row r="2" spans="1:46" s="55" customFormat="1" ht="12" thickBot="1" x14ac:dyDescent="0.3">
      <c r="A2" s="56"/>
      <c r="B2" s="1108" t="s">
        <v>424</v>
      </c>
      <c r="C2" s="1108"/>
      <c r="D2" s="1108"/>
      <c r="E2" s="1108"/>
      <c r="F2" s="1108"/>
      <c r="G2" s="1108"/>
      <c r="H2" s="1108"/>
      <c r="I2" s="1108"/>
      <c r="J2" s="1108"/>
      <c r="K2" s="1108"/>
      <c r="L2" s="1108"/>
      <c r="M2" s="1108"/>
      <c r="N2" s="1108"/>
      <c r="O2" s="1108"/>
      <c r="P2" s="1108"/>
      <c r="Q2" s="1108"/>
      <c r="R2" s="1108"/>
      <c r="S2" s="56"/>
      <c r="T2" s="56"/>
      <c r="U2" s="56"/>
      <c r="V2" s="56"/>
      <c r="W2" s="56"/>
      <c r="X2" s="56"/>
      <c r="Y2" s="56"/>
      <c r="Z2" s="56"/>
      <c r="AA2" s="56"/>
      <c r="AB2" s="56"/>
      <c r="AC2" s="56"/>
      <c r="AD2" s="56"/>
      <c r="AE2" s="56"/>
      <c r="AF2" s="56"/>
      <c r="AG2" s="56"/>
      <c r="AH2" s="56"/>
      <c r="AI2" s="56"/>
      <c r="AJ2" s="56"/>
      <c r="AK2" s="56"/>
      <c r="AL2" s="56"/>
      <c r="AM2" s="56"/>
      <c r="AN2" s="515"/>
      <c r="AO2" s="515"/>
      <c r="AP2" s="515"/>
      <c r="AQ2" s="515"/>
      <c r="AR2" s="515"/>
      <c r="AS2" s="515"/>
      <c r="AT2" s="517"/>
    </row>
    <row r="3" spans="1:46" s="518" customFormat="1" ht="28.35" customHeight="1" x14ac:dyDescent="0.25">
      <c r="A3" s="1110"/>
      <c r="B3" s="1110"/>
      <c r="C3" s="1110"/>
      <c r="D3" s="1110"/>
      <c r="E3" s="1110"/>
      <c r="F3" s="1110"/>
      <c r="G3" s="635"/>
      <c r="H3" s="635"/>
      <c r="I3" s="1050" t="s">
        <v>294</v>
      </c>
      <c r="J3" s="1051"/>
      <c r="K3" s="1051"/>
      <c r="L3" s="1052"/>
      <c r="M3" s="1109" t="s">
        <v>425</v>
      </c>
      <c r="N3" s="1109"/>
      <c r="O3" s="1109"/>
      <c r="P3" s="1109"/>
      <c r="Q3" s="1109"/>
      <c r="R3" s="1109"/>
      <c r="S3" s="1109"/>
      <c r="T3" s="1109"/>
      <c r="U3" s="1109"/>
      <c r="V3" s="1109"/>
      <c r="W3" s="1109"/>
      <c r="X3" s="1109"/>
      <c r="Y3" s="1109"/>
      <c r="Z3" s="1109"/>
      <c r="AA3" s="1109"/>
      <c r="AB3" s="1109"/>
      <c r="AC3" s="1109"/>
      <c r="AD3" s="1109"/>
      <c r="AE3" s="1099" t="s">
        <v>313</v>
      </c>
      <c r="AF3" s="1100"/>
      <c r="AG3" s="1100"/>
      <c r="AH3" s="1100"/>
      <c r="AI3" s="1100"/>
      <c r="AJ3" s="1100"/>
      <c r="AK3" s="1100"/>
      <c r="AL3" s="1101"/>
      <c r="AM3" s="1095" t="s">
        <v>426</v>
      </c>
      <c r="AN3" s="1095" t="s">
        <v>427</v>
      </c>
      <c r="AO3" s="1099" t="s">
        <v>321</v>
      </c>
      <c r="AP3" s="1100"/>
      <c r="AQ3" s="1100"/>
      <c r="AR3" s="1100"/>
      <c r="AS3" s="1100"/>
      <c r="AT3" s="1101"/>
    </row>
    <row r="4" spans="1:46" s="519" customFormat="1" ht="11.25" customHeight="1" x14ac:dyDescent="0.25">
      <c r="A4" s="1110" t="s">
        <v>367</v>
      </c>
      <c r="B4" s="1110"/>
      <c r="C4" s="1120" t="s">
        <v>214</v>
      </c>
      <c r="D4" s="1121"/>
      <c r="E4" s="1120" t="s">
        <v>292</v>
      </c>
      <c r="F4" s="1121"/>
      <c r="G4" s="635"/>
      <c r="H4" s="635"/>
      <c r="I4" s="1112" t="s">
        <v>295</v>
      </c>
      <c r="J4" s="1113"/>
      <c r="K4" s="1113"/>
      <c r="L4" s="1114"/>
      <c r="M4" s="1001" t="s">
        <v>269</v>
      </c>
      <c r="N4" s="1118"/>
      <c r="O4" s="1118"/>
      <c r="P4" s="1118"/>
      <c r="Q4" s="1118"/>
      <c r="R4" s="1118"/>
      <c r="S4" s="1118"/>
      <c r="T4" s="1118"/>
      <c r="U4" s="1002"/>
      <c r="V4" s="1096" t="s">
        <v>305</v>
      </c>
      <c r="W4" s="1097"/>
      <c r="X4" s="1097"/>
      <c r="Y4" s="1097"/>
      <c r="Z4" s="1097"/>
      <c r="AA4" s="1098"/>
      <c r="AB4" s="1099" t="s">
        <v>271</v>
      </c>
      <c r="AC4" s="1100"/>
      <c r="AD4" s="1101"/>
      <c r="AE4" s="1102"/>
      <c r="AF4" s="1103"/>
      <c r="AG4" s="1103"/>
      <c r="AH4" s="1103"/>
      <c r="AI4" s="1103"/>
      <c r="AJ4" s="1103"/>
      <c r="AK4" s="1103"/>
      <c r="AL4" s="1104"/>
      <c r="AM4" s="1095"/>
      <c r="AN4" s="1095"/>
      <c r="AO4" s="1105"/>
      <c r="AP4" s="1106"/>
      <c r="AQ4" s="1106"/>
      <c r="AR4" s="1106"/>
      <c r="AS4" s="1106"/>
      <c r="AT4" s="1107"/>
    </row>
    <row r="5" spans="1:46" s="519" customFormat="1" ht="10.35" customHeight="1" x14ac:dyDescent="0.25">
      <c r="A5" s="1110"/>
      <c r="B5" s="1110"/>
      <c r="C5" s="1122"/>
      <c r="D5" s="1123"/>
      <c r="E5" s="1122"/>
      <c r="F5" s="1123"/>
      <c r="G5" s="1110" t="s">
        <v>293</v>
      </c>
      <c r="H5" s="635"/>
      <c r="I5" s="1115"/>
      <c r="J5" s="1116"/>
      <c r="K5" s="1116"/>
      <c r="L5" s="1117"/>
      <c r="M5" s="1005"/>
      <c r="N5" s="1119"/>
      <c r="O5" s="1119"/>
      <c r="P5" s="1119"/>
      <c r="Q5" s="1119"/>
      <c r="R5" s="1119"/>
      <c r="S5" s="1119"/>
      <c r="T5" s="1119"/>
      <c r="U5" s="1006"/>
      <c r="V5" s="1096" t="s">
        <v>306</v>
      </c>
      <c r="W5" s="1097"/>
      <c r="X5" s="1098"/>
      <c r="Y5" s="1096" t="s">
        <v>307</v>
      </c>
      <c r="Z5" s="1097"/>
      <c r="AA5" s="1098"/>
      <c r="AB5" s="1105"/>
      <c r="AC5" s="1106"/>
      <c r="AD5" s="1107"/>
      <c r="AE5" s="1095" t="s">
        <v>272</v>
      </c>
      <c r="AF5" s="1095" t="s">
        <v>314</v>
      </c>
      <c r="AG5" s="1096" t="s">
        <v>274</v>
      </c>
      <c r="AH5" s="1097"/>
      <c r="AI5" s="1098"/>
      <c r="AJ5" s="1096" t="s">
        <v>318</v>
      </c>
      <c r="AK5" s="1097"/>
      <c r="AL5" s="1098"/>
      <c r="AM5" s="1095"/>
      <c r="AN5" s="1095"/>
      <c r="AO5" s="1102"/>
      <c r="AP5" s="1103"/>
      <c r="AQ5" s="1103"/>
      <c r="AR5" s="1103"/>
      <c r="AS5" s="1103"/>
      <c r="AT5" s="1104"/>
    </row>
    <row r="6" spans="1:46" s="519" customFormat="1" ht="18" customHeight="1" x14ac:dyDescent="0.25">
      <c r="A6" s="1110"/>
      <c r="B6" s="1110"/>
      <c r="C6" s="1122"/>
      <c r="D6" s="1123"/>
      <c r="E6" s="1122"/>
      <c r="F6" s="1123"/>
      <c r="G6" s="1110"/>
      <c r="H6" s="635"/>
      <c r="I6" s="789"/>
      <c r="J6" s="789"/>
      <c r="K6" s="789"/>
      <c r="L6" s="789"/>
      <c r="M6" s="635"/>
      <c r="N6" s="635"/>
      <c r="O6" s="635"/>
      <c r="P6" s="635"/>
      <c r="Q6" s="635"/>
      <c r="R6" s="635"/>
      <c r="S6" s="635"/>
      <c r="T6" s="635"/>
      <c r="U6" s="635"/>
      <c r="V6" s="636"/>
      <c r="W6" s="636"/>
      <c r="X6" s="636"/>
      <c r="Y6" s="636"/>
      <c r="Z6" s="636"/>
      <c r="AA6" s="636"/>
      <c r="AB6" s="1102"/>
      <c r="AC6" s="1103"/>
      <c r="AD6" s="1104"/>
      <c r="AE6" s="1095"/>
      <c r="AF6" s="1095"/>
      <c r="AG6" s="636"/>
      <c r="AH6" s="636"/>
      <c r="AI6" s="636"/>
      <c r="AJ6" s="636"/>
      <c r="AK6" s="636"/>
      <c r="AL6" s="636"/>
      <c r="AM6" s="1095"/>
      <c r="AN6" s="1095"/>
      <c r="AO6" s="636"/>
      <c r="AP6" s="1095" t="s">
        <v>428</v>
      </c>
      <c r="AQ6" s="1095"/>
      <c r="AR6" s="1095"/>
      <c r="AS6" s="1095"/>
      <c r="AT6" s="636"/>
    </row>
    <row r="7" spans="1:46" s="67" customFormat="1" ht="45" x14ac:dyDescent="0.25">
      <c r="A7" s="1110"/>
      <c r="B7" s="1110"/>
      <c r="C7" s="1124"/>
      <c r="D7" s="1125"/>
      <c r="E7" s="1124"/>
      <c r="F7" s="1125"/>
      <c r="G7" s="1111"/>
      <c r="H7" s="637" t="s">
        <v>63</v>
      </c>
      <c r="I7" s="636" t="s">
        <v>369</v>
      </c>
      <c r="J7" s="635" t="s">
        <v>296</v>
      </c>
      <c r="K7" s="635" t="s">
        <v>297</v>
      </c>
      <c r="L7" s="635" t="s">
        <v>298</v>
      </c>
      <c r="M7" s="635" t="s">
        <v>299</v>
      </c>
      <c r="N7" s="635" t="s">
        <v>300</v>
      </c>
      <c r="O7" s="635" t="s">
        <v>301</v>
      </c>
      <c r="P7" s="635" t="s">
        <v>302</v>
      </c>
      <c r="Q7" s="635" t="s">
        <v>303</v>
      </c>
      <c r="R7" s="635" t="s">
        <v>304</v>
      </c>
      <c r="S7" s="635" t="s">
        <v>370</v>
      </c>
      <c r="T7" s="635" t="s">
        <v>371</v>
      </c>
      <c r="U7" s="638" t="s">
        <v>0</v>
      </c>
      <c r="V7" s="635" t="s">
        <v>309</v>
      </c>
      <c r="W7" s="636" t="s">
        <v>310</v>
      </c>
      <c r="X7" s="636" t="s">
        <v>1</v>
      </c>
      <c r="Y7" s="635" t="s">
        <v>309</v>
      </c>
      <c r="Z7" s="636" t="s">
        <v>310</v>
      </c>
      <c r="AA7" s="636" t="s">
        <v>0</v>
      </c>
      <c r="AB7" s="740" t="s">
        <v>311</v>
      </c>
      <c r="AC7" s="740" t="s">
        <v>312</v>
      </c>
      <c r="AD7" s="636" t="s">
        <v>0</v>
      </c>
      <c r="AE7" s="1095"/>
      <c r="AF7" s="1095"/>
      <c r="AG7" s="636" t="s">
        <v>315</v>
      </c>
      <c r="AH7" s="740" t="s">
        <v>316</v>
      </c>
      <c r="AI7" s="636" t="s">
        <v>298</v>
      </c>
      <c r="AJ7" s="636" t="s">
        <v>317</v>
      </c>
      <c r="AK7" s="636" t="s">
        <v>316</v>
      </c>
      <c r="AL7" s="636" t="s">
        <v>298</v>
      </c>
      <c r="AM7" s="1095"/>
      <c r="AN7" s="1095"/>
      <c r="AO7" s="800" t="s">
        <v>286</v>
      </c>
      <c r="AP7" s="636" t="s">
        <v>287</v>
      </c>
      <c r="AQ7" s="636" t="s">
        <v>429</v>
      </c>
      <c r="AR7" s="636" t="s">
        <v>288</v>
      </c>
      <c r="AS7" s="636" t="s">
        <v>257</v>
      </c>
      <c r="AT7" s="740" t="s">
        <v>609</v>
      </c>
    </row>
    <row r="8" spans="1:46" s="67" customFormat="1" x14ac:dyDescent="0.25">
      <c r="A8" s="605" t="s">
        <v>3</v>
      </c>
      <c r="B8" s="605" t="s">
        <v>4</v>
      </c>
      <c r="C8" s="605" t="s">
        <v>5</v>
      </c>
      <c r="D8" s="606" t="s">
        <v>6</v>
      </c>
      <c r="E8" s="605" t="s">
        <v>7</v>
      </c>
      <c r="F8" s="605" t="s">
        <v>8</v>
      </c>
      <c r="G8" s="605"/>
      <c r="H8" s="605"/>
      <c r="I8" s="607">
        <v>1</v>
      </c>
      <c r="J8" s="607">
        <v>2</v>
      </c>
      <c r="K8" s="607">
        <v>3</v>
      </c>
      <c r="L8" s="607">
        <v>4</v>
      </c>
      <c r="M8" s="607">
        <v>5</v>
      </c>
      <c r="N8" s="607">
        <v>6</v>
      </c>
      <c r="O8" s="607">
        <v>7</v>
      </c>
      <c r="P8" s="607">
        <v>8</v>
      </c>
      <c r="Q8" s="607">
        <v>9</v>
      </c>
      <c r="R8" s="607">
        <v>10</v>
      </c>
      <c r="S8" s="607">
        <v>11</v>
      </c>
      <c r="T8" s="607">
        <v>12</v>
      </c>
      <c r="U8" s="607">
        <v>13</v>
      </c>
      <c r="V8" s="607">
        <v>14</v>
      </c>
      <c r="W8" s="607">
        <v>15</v>
      </c>
      <c r="X8" s="607">
        <v>16</v>
      </c>
      <c r="Y8" s="607">
        <v>17</v>
      </c>
      <c r="Z8" s="607">
        <v>18</v>
      </c>
      <c r="AA8" s="607">
        <v>19</v>
      </c>
      <c r="AB8" s="607">
        <v>20</v>
      </c>
      <c r="AC8" s="607">
        <v>21</v>
      </c>
      <c r="AD8" s="607">
        <v>22</v>
      </c>
      <c r="AE8" s="607">
        <v>23</v>
      </c>
      <c r="AF8" s="607">
        <v>24</v>
      </c>
      <c r="AG8" s="607">
        <v>25</v>
      </c>
      <c r="AH8" s="607">
        <v>26</v>
      </c>
      <c r="AI8" s="607">
        <v>27</v>
      </c>
      <c r="AJ8" s="607">
        <v>28</v>
      </c>
      <c r="AK8" s="607">
        <v>29</v>
      </c>
      <c r="AL8" s="607">
        <v>30</v>
      </c>
      <c r="AM8" s="607">
        <v>31</v>
      </c>
      <c r="AN8" s="607">
        <v>32</v>
      </c>
      <c r="AO8" s="607">
        <v>33</v>
      </c>
      <c r="AP8" s="607">
        <v>34</v>
      </c>
      <c r="AQ8" s="607">
        <v>35</v>
      </c>
      <c r="AR8" s="607">
        <v>36</v>
      </c>
      <c r="AS8" s="607">
        <v>37</v>
      </c>
      <c r="AT8" s="607">
        <v>38</v>
      </c>
    </row>
    <row r="9" spans="1:46" s="67" customFormat="1" ht="31.5" customHeight="1" thickBot="1" x14ac:dyDescent="0.3">
      <c r="A9" s="1090" t="s">
        <v>464</v>
      </c>
      <c r="B9" s="1091"/>
      <c r="C9" s="1091"/>
      <c r="D9" s="1091"/>
      <c r="E9" s="1091"/>
      <c r="F9" s="1091"/>
      <c r="G9" s="1091"/>
      <c r="H9" s="1091"/>
      <c r="I9" s="1091"/>
      <c r="J9" s="1091"/>
      <c r="K9" s="1091"/>
      <c r="L9" s="1091"/>
      <c r="M9" s="1091"/>
      <c r="N9" s="1091"/>
      <c r="O9" s="1091"/>
      <c r="P9" s="1091"/>
      <c r="Q9" s="1091"/>
      <c r="R9" s="1091"/>
      <c r="S9" s="1091"/>
      <c r="T9" s="1091"/>
      <c r="U9" s="1091"/>
      <c r="V9" s="1091"/>
      <c r="W9" s="1091"/>
      <c r="X9" s="1091"/>
      <c r="Y9" s="1091"/>
      <c r="Z9" s="1091"/>
      <c r="AA9" s="1091"/>
      <c r="AB9" s="1091"/>
      <c r="AC9" s="1091"/>
      <c r="AD9" s="1091"/>
      <c r="AE9" s="1091"/>
      <c r="AF9" s="1091"/>
      <c r="AG9" s="1091"/>
      <c r="AH9" s="1091"/>
      <c r="AI9" s="1091"/>
      <c r="AJ9" s="1091"/>
      <c r="AK9" s="1091"/>
      <c r="AL9" s="1091"/>
      <c r="AM9" s="1091"/>
      <c r="AN9" s="1091"/>
      <c r="AO9" s="1091"/>
      <c r="AP9" s="1091"/>
      <c r="AQ9" s="1091"/>
      <c r="AR9" s="1091"/>
      <c r="AS9" s="1091"/>
      <c r="AT9" s="1092"/>
    </row>
    <row r="10" spans="1:46" s="519" customFormat="1" ht="28.5" customHeight="1" thickBot="1" x14ac:dyDescent="0.3">
      <c r="A10" s="407">
        <v>1</v>
      </c>
      <c r="B10" s="608"/>
      <c r="C10" s="1079">
        <v>1.1000000000000001</v>
      </c>
      <c r="D10" s="1083" t="s">
        <v>659</v>
      </c>
      <c r="E10" s="407" t="s">
        <v>14</v>
      </c>
      <c r="F10" s="527" t="s">
        <v>437</v>
      </c>
      <c r="G10" s="768" t="s">
        <v>430</v>
      </c>
      <c r="H10" s="134"/>
      <c r="I10" s="521"/>
      <c r="J10" s="522"/>
      <c r="K10" s="522"/>
      <c r="L10" s="609">
        <f>I10*J10*K10</f>
        <v>0</v>
      </c>
      <c r="M10" s="530"/>
      <c r="N10" s="530"/>
      <c r="O10" s="530"/>
      <c r="P10" s="530"/>
      <c r="Q10" s="530"/>
      <c r="R10" s="530"/>
      <c r="S10" s="530"/>
      <c r="T10" s="530"/>
      <c r="U10" s="520">
        <f t="shared" ref="U10:U86" si="0">(M10*N10*P10)+(M10*N10*O10*Q10)+(M10*N10*O10*R10)+(M10*O10*S10)+(M10*N10*T10)</f>
        <v>0</v>
      </c>
      <c r="V10" s="523">
        <v>70</v>
      </c>
      <c r="W10" s="523">
        <v>350</v>
      </c>
      <c r="X10" s="520">
        <f t="shared" ref="X10:X71" si="1">V10*W10</f>
        <v>24500</v>
      </c>
      <c r="Y10" s="523">
        <v>100</v>
      </c>
      <c r="Z10" s="523">
        <v>1250</v>
      </c>
      <c r="AA10" s="520">
        <f t="shared" ref="AA10:AA71" si="2">Y10*Z10</f>
        <v>125000</v>
      </c>
      <c r="AB10" s="524"/>
      <c r="AC10" s="524"/>
      <c r="AD10" s="520">
        <f>AB10*AC10</f>
        <v>0</v>
      </c>
      <c r="AE10" s="520"/>
      <c r="AF10" s="520"/>
      <c r="AG10" s="617"/>
      <c r="AH10" s="617"/>
      <c r="AI10" s="520">
        <f t="shared" ref="AI10:AI70" si="3">AG10*AH10</f>
        <v>0</v>
      </c>
      <c r="AJ10" s="617"/>
      <c r="AK10" s="617"/>
      <c r="AL10" s="520">
        <f>AJ10*AK10</f>
        <v>0</v>
      </c>
      <c r="AM10" s="520"/>
      <c r="AN10" s="520">
        <f>L10+U10+X10+AA10+AD10+AI10+AL10+AM10+AE10+AF10</f>
        <v>149500</v>
      </c>
      <c r="AO10" s="74"/>
      <c r="AP10" s="74"/>
      <c r="AQ10" s="74"/>
      <c r="AR10" s="74">
        <v>25000</v>
      </c>
      <c r="AS10" s="74"/>
      <c r="AT10" s="610">
        <f>AN10-AO10-AP10-AR10</f>
        <v>124500</v>
      </c>
    </row>
    <row r="11" spans="1:46" s="525" customFormat="1" ht="61.5" customHeight="1" thickBot="1" x14ac:dyDescent="0.3">
      <c r="A11" s="407"/>
      <c r="B11" s="608"/>
      <c r="C11" s="1079"/>
      <c r="D11" s="1083"/>
      <c r="E11" s="407" t="s">
        <v>27</v>
      </c>
      <c r="F11" s="527" t="s">
        <v>438</v>
      </c>
      <c r="G11" s="768" t="s">
        <v>431</v>
      </c>
      <c r="H11" s="134"/>
      <c r="I11" s="521"/>
      <c r="J11" s="522"/>
      <c r="K11" s="522"/>
      <c r="L11" s="609">
        <f t="shared" ref="L11:L63" si="4">I11*J11*K11</f>
        <v>0</v>
      </c>
      <c r="M11" s="530"/>
      <c r="N11" s="530"/>
      <c r="O11" s="530"/>
      <c r="P11" s="530"/>
      <c r="Q11" s="530"/>
      <c r="R11" s="530"/>
      <c r="S11" s="530"/>
      <c r="T11" s="530"/>
      <c r="U11" s="520">
        <f t="shared" si="0"/>
        <v>0</v>
      </c>
      <c r="V11" s="523"/>
      <c r="W11" s="523"/>
      <c r="X11" s="520">
        <f t="shared" si="1"/>
        <v>0</v>
      </c>
      <c r="Y11" s="523">
        <v>20</v>
      </c>
      <c r="Z11" s="523">
        <v>1250</v>
      </c>
      <c r="AA11" s="520">
        <f t="shared" si="2"/>
        <v>25000</v>
      </c>
      <c r="AB11" s="524"/>
      <c r="AC11" s="524"/>
      <c r="AD11" s="520">
        <f t="shared" ref="AD11:AD71" si="5">AB11*AC11</f>
        <v>0</v>
      </c>
      <c r="AE11" s="520"/>
      <c r="AF11" s="520"/>
      <c r="AG11" s="617"/>
      <c r="AH11" s="617"/>
      <c r="AI11" s="520">
        <f t="shared" si="3"/>
        <v>0</v>
      </c>
      <c r="AJ11" s="617"/>
      <c r="AK11" s="617"/>
      <c r="AL11" s="520">
        <f>AJ11*AK11</f>
        <v>0</v>
      </c>
      <c r="AM11" s="520"/>
      <c r="AN11" s="520">
        <f t="shared" ref="AN11:AN71" si="6">L11+U11+X11+AA11+AD11+AI11+AL11+AM11+AE11+AF11</f>
        <v>25000</v>
      </c>
      <c r="AO11" s="74"/>
      <c r="AP11" s="74"/>
      <c r="AQ11" s="74"/>
      <c r="AR11" s="74">
        <f>AN11</f>
        <v>25000</v>
      </c>
      <c r="AS11" s="74"/>
      <c r="AT11" s="610">
        <f>AN11-AO11-AP11-AR11</f>
        <v>0</v>
      </c>
    </row>
    <row r="12" spans="1:46" s="525" customFormat="1" ht="76.5" customHeight="1" thickBot="1" x14ac:dyDescent="0.3">
      <c r="A12" s="407"/>
      <c r="B12" s="608"/>
      <c r="C12" s="1079"/>
      <c r="D12" s="1083"/>
      <c r="E12" s="407" t="s">
        <v>28</v>
      </c>
      <c r="F12" s="526" t="s">
        <v>610</v>
      </c>
      <c r="G12" s="768" t="s">
        <v>431</v>
      </c>
      <c r="H12" s="134"/>
      <c r="I12" s="521"/>
      <c r="J12" s="522"/>
      <c r="K12" s="522"/>
      <c r="L12" s="609">
        <f t="shared" si="4"/>
        <v>0</v>
      </c>
      <c r="M12" s="530">
        <v>15</v>
      </c>
      <c r="N12" s="530">
        <v>1</v>
      </c>
      <c r="O12" s="530">
        <v>20</v>
      </c>
      <c r="P12" s="530"/>
      <c r="Q12" s="530">
        <v>25</v>
      </c>
      <c r="R12" s="530">
        <v>20</v>
      </c>
      <c r="S12" s="530"/>
      <c r="T12" s="530"/>
      <c r="U12" s="520">
        <f t="shared" si="0"/>
        <v>13500</v>
      </c>
      <c r="V12" s="523">
        <f>15*50</f>
        <v>750</v>
      </c>
      <c r="W12" s="523">
        <v>350</v>
      </c>
      <c r="X12" s="520">
        <f t="shared" si="1"/>
        <v>262500</v>
      </c>
      <c r="Y12" s="523">
        <f>15*40</f>
        <v>600</v>
      </c>
      <c r="Z12" s="523">
        <v>1250</v>
      </c>
      <c r="AA12" s="520">
        <f t="shared" si="2"/>
        <v>750000</v>
      </c>
      <c r="AB12" s="524"/>
      <c r="AC12" s="524"/>
      <c r="AD12" s="520">
        <f t="shared" si="5"/>
        <v>0</v>
      </c>
      <c r="AE12" s="520"/>
      <c r="AF12" s="520"/>
      <c r="AG12" s="617"/>
      <c r="AH12" s="617"/>
      <c r="AI12" s="520">
        <f t="shared" si="3"/>
        <v>0</v>
      </c>
      <c r="AJ12" s="617"/>
      <c r="AK12" s="617"/>
      <c r="AL12" s="520"/>
      <c r="AM12" s="520">
        <v>15000</v>
      </c>
      <c r="AN12" s="520">
        <f t="shared" si="6"/>
        <v>1041000</v>
      </c>
      <c r="AO12" s="74">
        <v>7000</v>
      </c>
      <c r="AP12" s="74"/>
      <c r="AQ12" s="74"/>
      <c r="AR12" s="74"/>
      <c r="AS12" s="74"/>
      <c r="AT12" s="610">
        <f t="shared" ref="AT12:AT86" si="7">AN12-AO12-AP12-AR12</f>
        <v>1034000</v>
      </c>
    </row>
    <row r="13" spans="1:46" s="525" customFormat="1" ht="51.75" customHeight="1" thickBot="1" x14ac:dyDescent="0.3">
      <c r="A13" s="407"/>
      <c r="B13" s="608"/>
      <c r="C13" s="1079"/>
      <c r="D13" s="1083"/>
      <c r="E13" s="407" t="s">
        <v>29</v>
      </c>
      <c r="F13" s="526" t="s">
        <v>439</v>
      </c>
      <c r="G13" s="768" t="s">
        <v>431</v>
      </c>
      <c r="H13" s="134"/>
      <c r="I13" s="521"/>
      <c r="J13" s="522"/>
      <c r="K13" s="522"/>
      <c r="L13" s="609">
        <f t="shared" si="4"/>
        <v>0</v>
      </c>
      <c r="M13" s="530"/>
      <c r="N13" s="530"/>
      <c r="O13" s="530"/>
      <c r="P13" s="530"/>
      <c r="Q13" s="530"/>
      <c r="R13" s="530"/>
      <c r="S13" s="530"/>
      <c r="T13" s="530"/>
      <c r="U13" s="520">
        <f t="shared" si="0"/>
        <v>0</v>
      </c>
      <c r="V13" s="523"/>
      <c r="W13" s="523"/>
      <c r="X13" s="520">
        <f t="shared" si="1"/>
        <v>0</v>
      </c>
      <c r="Y13" s="523"/>
      <c r="Z13" s="523"/>
      <c r="AA13" s="520">
        <v>450000</v>
      </c>
      <c r="AB13" s="524"/>
      <c r="AC13" s="524"/>
      <c r="AD13" s="520">
        <f t="shared" si="5"/>
        <v>0</v>
      </c>
      <c r="AE13" s="520"/>
      <c r="AF13" s="520"/>
      <c r="AG13" s="617"/>
      <c r="AH13" s="617"/>
      <c r="AI13" s="520">
        <f t="shared" si="3"/>
        <v>0</v>
      </c>
      <c r="AJ13" s="617"/>
      <c r="AK13" s="617"/>
      <c r="AL13" s="520"/>
      <c r="AM13" s="520"/>
      <c r="AN13" s="520">
        <f t="shared" si="6"/>
        <v>450000</v>
      </c>
      <c r="AO13" s="74"/>
      <c r="AP13" s="74">
        <f>AN13</f>
        <v>450000</v>
      </c>
      <c r="AQ13" s="74"/>
      <c r="AR13" s="74"/>
      <c r="AS13" s="74"/>
      <c r="AT13" s="610">
        <f t="shared" si="7"/>
        <v>0</v>
      </c>
    </row>
    <row r="14" spans="1:46" s="525" customFormat="1" ht="30" customHeight="1" thickBot="1" x14ac:dyDescent="0.3">
      <c r="A14" s="407"/>
      <c r="B14" s="608"/>
      <c r="C14" s="1079"/>
      <c r="D14" s="1083"/>
      <c r="E14" s="407" t="s">
        <v>31</v>
      </c>
      <c r="F14" s="526" t="s">
        <v>440</v>
      </c>
      <c r="G14" s="768"/>
      <c r="H14" s="134"/>
      <c r="I14" s="521"/>
      <c r="J14" s="522"/>
      <c r="K14" s="522"/>
      <c r="L14" s="609">
        <f t="shared" si="4"/>
        <v>0</v>
      </c>
      <c r="M14" s="530">
        <v>15</v>
      </c>
      <c r="N14" s="530">
        <v>1</v>
      </c>
      <c r="O14" s="530">
        <v>20</v>
      </c>
      <c r="P14" s="530">
        <v>25</v>
      </c>
      <c r="Q14" s="530"/>
      <c r="R14" s="530">
        <v>20</v>
      </c>
      <c r="S14" s="530"/>
      <c r="T14" s="530"/>
      <c r="U14" s="520">
        <f t="shared" si="0"/>
        <v>6375</v>
      </c>
      <c r="V14" s="523">
        <f>15*100</f>
        <v>1500</v>
      </c>
      <c r="W14" s="523">
        <v>350</v>
      </c>
      <c r="X14" s="520">
        <f t="shared" si="1"/>
        <v>525000</v>
      </c>
      <c r="Y14" s="523">
        <f>15*60</f>
        <v>900</v>
      </c>
      <c r="Z14" s="523">
        <v>1250</v>
      </c>
      <c r="AA14" s="520">
        <f t="shared" si="2"/>
        <v>1125000</v>
      </c>
      <c r="AB14" s="524"/>
      <c r="AC14" s="524"/>
      <c r="AD14" s="520">
        <f t="shared" si="5"/>
        <v>0</v>
      </c>
      <c r="AE14" s="520"/>
      <c r="AF14" s="520"/>
      <c r="AG14" s="617"/>
      <c r="AH14" s="617"/>
      <c r="AI14" s="520">
        <f t="shared" si="3"/>
        <v>0</v>
      </c>
      <c r="AJ14" s="617"/>
      <c r="AK14" s="617"/>
      <c r="AL14" s="520"/>
      <c r="AM14" s="520"/>
      <c r="AN14" s="520">
        <f t="shared" si="6"/>
        <v>1656375</v>
      </c>
      <c r="AO14" s="74"/>
      <c r="AP14" s="74"/>
      <c r="AQ14" s="74"/>
      <c r="AR14" s="74"/>
      <c r="AS14" s="74"/>
      <c r="AT14" s="610">
        <f t="shared" si="7"/>
        <v>1656375</v>
      </c>
    </row>
    <row r="15" spans="1:46" s="525" customFormat="1" ht="75" customHeight="1" thickBot="1" x14ac:dyDescent="0.3">
      <c r="A15" s="407"/>
      <c r="B15" s="608"/>
      <c r="C15" s="1079"/>
      <c r="D15" s="1083"/>
      <c r="E15" s="407" t="s">
        <v>107</v>
      </c>
      <c r="F15" s="527" t="s">
        <v>660</v>
      </c>
      <c r="G15" s="768" t="s">
        <v>431</v>
      </c>
      <c r="H15" s="134"/>
      <c r="I15" s="521"/>
      <c r="J15" s="522"/>
      <c r="K15" s="522"/>
      <c r="L15" s="609">
        <f t="shared" si="4"/>
        <v>0</v>
      </c>
      <c r="M15" s="530"/>
      <c r="N15" s="530"/>
      <c r="O15" s="530"/>
      <c r="P15" s="530"/>
      <c r="Q15" s="530"/>
      <c r="R15" s="530"/>
      <c r="S15" s="530"/>
      <c r="T15" s="530"/>
      <c r="U15" s="520">
        <f t="shared" si="0"/>
        <v>0</v>
      </c>
      <c r="V15" s="523">
        <v>10</v>
      </c>
      <c r="W15" s="523">
        <v>350</v>
      </c>
      <c r="X15" s="520">
        <f t="shared" si="1"/>
        <v>3500</v>
      </c>
      <c r="Y15" s="523">
        <v>30</v>
      </c>
      <c r="Z15" s="523">
        <v>1250</v>
      </c>
      <c r="AA15" s="520">
        <f t="shared" si="2"/>
        <v>37500</v>
      </c>
      <c r="AB15" s="524"/>
      <c r="AC15" s="524"/>
      <c r="AD15" s="520">
        <f t="shared" si="5"/>
        <v>0</v>
      </c>
      <c r="AE15" s="520"/>
      <c r="AF15" s="520"/>
      <c r="AG15" s="617"/>
      <c r="AH15" s="617"/>
      <c r="AI15" s="520">
        <f t="shared" si="3"/>
        <v>0</v>
      </c>
      <c r="AJ15" s="617"/>
      <c r="AK15" s="617"/>
      <c r="AL15" s="520"/>
      <c r="AM15" s="520">
        <v>1000</v>
      </c>
      <c r="AN15" s="520">
        <f t="shared" si="6"/>
        <v>42000</v>
      </c>
      <c r="AO15" s="74">
        <v>1000</v>
      </c>
      <c r="AP15" s="74"/>
      <c r="AQ15" s="74"/>
      <c r="AR15" s="74"/>
      <c r="AS15" s="74"/>
      <c r="AT15" s="610">
        <f t="shared" si="7"/>
        <v>41000</v>
      </c>
    </row>
    <row r="16" spans="1:46" s="525" customFormat="1" ht="49.5" customHeight="1" thickBot="1" x14ac:dyDescent="0.3">
      <c r="A16" s="407"/>
      <c r="B16" s="608"/>
      <c r="C16" s="1079"/>
      <c r="D16" s="1083"/>
      <c r="E16" s="407" t="s">
        <v>108</v>
      </c>
      <c r="F16" s="527" t="s">
        <v>441</v>
      </c>
      <c r="G16" s="768" t="s">
        <v>431</v>
      </c>
      <c r="H16" s="134" t="s">
        <v>64</v>
      </c>
      <c r="I16" s="521"/>
      <c r="J16" s="522"/>
      <c r="K16" s="522"/>
      <c r="L16" s="609">
        <f t="shared" si="4"/>
        <v>0</v>
      </c>
      <c r="M16" s="530">
        <v>20</v>
      </c>
      <c r="N16" s="530">
        <v>9</v>
      </c>
      <c r="O16" s="530">
        <v>20</v>
      </c>
      <c r="P16" s="530"/>
      <c r="Q16" s="530">
        <v>25</v>
      </c>
      <c r="R16" s="530"/>
      <c r="S16" s="530">
        <v>20</v>
      </c>
      <c r="T16" s="530">
        <v>65</v>
      </c>
      <c r="U16" s="520">
        <f t="shared" si="0"/>
        <v>109700</v>
      </c>
      <c r="V16" s="523"/>
      <c r="W16" s="523"/>
      <c r="X16" s="520">
        <f t="shared" si="1"/>
        <v>0</v>
      </c>
      <c r="Y16" s="523"/>
      <c r="Z16" s="523"/>
      <c r="AA16" s="520">
        <f t="shared" si="2"/>
        <v>0</v>
      </c>
      <c r="AB16" s="524"/>
      <c r="AC16" s="524"/>
      <c r="AD16" s="520">
        <f t="shared" si="5"/>
        <v>0</v>
      </c>
      <c r="AE16" s="520"/>
      <c r="AF16" s="520"/>
      <c r="AG16" s="617"/>
      <c r="AH16" s="617"/>
      <c r="AI16" s="520">
        <f t="shared" si="3"/>
        <v>0</v>
      </c>
      <c r="AJ16" s="617"/>
      <c r="AK16" s="617"/>
      <c r="AL16" s="520"/>
      <c r="AM16" s="520"/>
      <c r="AN16" s="520">
        <f t="shared" si="6"/>
        <v>109700</v>
      </c>
      <c r="AO16" s="74"/>
      <c r="AP16" s="74"/>
      <c r="AQ16" s="74"/>
      <c r="AR16" s="74"/>
      <c r="AS16" s="74"/>
      <c r="AT16" s="610">
        <f t="shared" si="7"/>
        <v>109700</v>
      </c>
    </row>
    <row r="17" spans="1:46" s="525" customFormat="1" ht="46.5" customHeight="1" x14ac:dyDescent="0.25">
      <c r="A17" s="407"/>
      <c r="B17" s="608"/>
      <c r="C17" s="1079"/>
      <c r="D17" s="1083"/>
      <c r="E17" s="407" t="s">
        <v>109</v>
      </c>
      <c r="F17" s="527" t="s">
        <v>442</v>
      </c>
      <c r="G17" s="768" t="s">
        <v>432</v>
      </c>
      <c r="H17" s="134"/>
      <c r="I17" s="521"/>
      <c r="J17" s="522"/>
      <c r="K17" s="522"/>
      <c r="L17" s="609">
        <f t="shared" si="4"/>
        <v>0</v>
      </c>
      <c r="M17" s="530">
        <v>10</v>
      </c>
      <c r="N17" s="530">
        <v>1</v>
      </c>
      <c r="O17" s="530">
        <v>20</v>
      </c>
      <c r="P17" s="530">
        <v>350</v>
      </c>
      <c r="Q17" s="530">
        <v>25</v>
      </c>
      <c r="R17" s="530"/>
      <c r="S17" s="530">
        <v>20</v>
      </c>
      <c r="T17" s="530"/>
      <c r="U17" s="520">
        <f t="shared" si="0"/>
        <v>12500</v>
      </c>
      <c r="V17" s="523">
        <f>10*100</f>
        <v>1000</v>
      </c>
      <c r="W17" s="523">
        <v>350</v>
      </c>
      <c r="X17" s="520">
        <f t="shared" si="1"/>
        <v>350000</v>
      </c>
      <c r="Y17" s="523">
        <f>10*100</f>
        <v>1000</v>
      </c>
      <c r="Z17" s="523">
        <v>1250</v>
      </c>
      <c r="AA17" s="520">
        <f t="shared" si="2"/>
        <v>1250000</v>
      </c>
      <c r="AB17" s="524"/>
      <c r="AC17" s="524"/>
      <c r="AD17" s="520">
        <f t="shared" si="5"/>
        <v>0</v>
      </c>
      <c r="AE17" s="520"/>
      <c r="AF17" s="520"/>
      <c r="AG17" s="617"/>
      <c r="AH17" s="617"/>
      <c r="AI17" s="520">
        <f t="shared" si="3"/>
        <v>0</v>
      </c>
      <c r="AJ17" s="617"/>
      <c r="AK17" s="617"/>
      <c r="AL17" s="520"/>
      <c r="AM17" s="520">
        <f>10*5000</f>
        <v>50000</v>
      </c>
      <c r="AN17" s="520">
        <f t="shared" si="6"/>
        <v>1662500</v>
      </c>
      <c r="AO17" s="74"/>
      <c r="AP17" s="74"/>
      <c r="AQ17" s="74"/>
      <c r="AR17" s="74"/>
      <c r="AS17" s="74"/>
      <c r="AT17" s="610">
        <f t="shared" si="7"/>
        <v>1662500</v>
      </c>
    </row>
    <row r="18" spans="1:46" s="525" customFormat="1" ht="24" customHeight="1" x14ac:dyDescent="0.25">
      <c r="A18" s="407"/>
      <c r="B18" s="608"/>
      <c r="C18" s="1079"/>
      <c r="D18" s="1083"/>
      <c r="E18" s="407" t="s">
        <v>110</v>
      </c>
      <c r="F18" s="527" t="s">
        <v>443</v>
      </c>
      <c r="G18" s="769" t="s">
        <v>433</v>
      </c>
      <c r="H18" s="134"/>
      <c r="I18" s="521"/>
      <c r="J18" s="522"/>
      <c r="K18" s="522"/>
      <c r="L18" s="609">
        <f t="shared" si="4"/>
        <v>0</v>
      </c>
      <c r="M18" s="530"/>
      <c r="N18" s="530"/>
      <c r="O18" s="530"/>
      <c r="P18" s="530"/>
      <c r="Q18" s="530"/>
      <c r="R18" s="530"/>
      <c r="S18" s="530"/>
      <c r="T18" s="530"/>
      <c r="U18" s="520">
        <f t="shared" si="0"/>
        <v>0</v>
      </c>
      <c r="V18" s="523">
        <f>19*50</f>
        <v>950</v>
      </c>
      <c r="W18" s="523">
        <v>350</v>
      </c>
      <c r="X18" s="520">
        <f t="shared" si="1"/>
        <v>332500</v>
      </c>
      <c r="Y18" s="523"/>
      <c r="Z18" s="523"/>
      <c r="AA18" s="520">
        <f t="shared" si="2"/>
        <v>0</v>
      </c>
      <c r="AB18" s="524"/>
      <c r="AC18" s="524"/>
      <c r="AD18" s="520">
        <f t="shared" si="5"/>
        <v>0</v>
      </c>
      <c r="AE18" s="520"/>
      <c r="AF18" s="520"/>
      <c r="AG18" s="617"/>
      <c r="AH18" s="617"/>
      <c r="AI18" s="520">
        <f t="shared" si="3"/>
        <v>0</v>
      </c>
      <c r="AJ18" s="617"/>
      <c r="AK18" s="617"/>
      <c r="AL18" s="520"/>
      <c r="AM18" s="520"/>
      <c r="AN18" s="520">
        <f t="shared" si="6"/>
        <v>332500</v>
      </c>
      <c r="AO18" s="74"/>
      <c r="AP18" s="74"/>
      <c r="AQ18" s="74"/>
      <c r="AR18" s="74"/>
      <c r="AS18" s="74"/>
      <c r="AT18" s="610">
        <f t="shared" si="7"/>
        <v>332500</v>
      </c>
    </row>
    <row r="19" spans="1:46" s="525" customFormat="1" ht="24.75" customHeight="1" thickBot="1" x14ac:dyDescent="0.25">
      <c r="A19" s="407"/>
      <c r="B19" s="608"/>
      <c r="C19" s="1079"/>
      <c r="D19" s="1083"/>
      <c r="E19" s="407" t="s">
        <v>111</v>
      </c>
      <c r="F19" s="528" t="s">
        <v>444</v>
      </c>
      <c r="G19" s="76"/>
      <c r="H19" s="611"/>
      <c r="I19" s="521"/>
      <c r="J19" s="522"/>
      <c r="K19" s="522"/>
      <c r="L19" s="609">
        <f t="shared" si="4"/>
        <v>0</v>
      </c>
      <c r="M19" s="530"/>
      <c r="N19" s="530"/>
      <c r="O19" s="530"/>
      <c r="P19" s="530"/>
      <c r="Q19" s="530"/>
      <c r="R19" s="530"/>
      <c r="S19" s="530"/>
      <c r="T19" s="530"/>
      <c r="U19" s="520">
        <f t="shared" si="0"/>
        <v>0</v>
      </c>
      <c r="V19" s="523"/>
      <c r="W19" s="523"/>
      <c r="X19" s="520">
        <f t="shared" si="1"/>
        <v>0</v>
      </c>
      <c r="Y19" s="523"/>
      <c r="Z19" s="523"/>
      <c r="AA19" s="520">
        <f t="shared" si="2"/>
        <v>0</v>
      </c>
      <c r="AB19" s="524">
        <f>19*300</f>
        <v>5700</v>
      </c>
      <c r="AC19" s="524">
        <v>5</v>
      </c>
      <c r="AD19" s="520">
        <f t="shared" si="5"/>
        <v>28500</v>
      </c>
      <c r="AE19" s="520"/>
      <c r="AF19" s="520"/>
      <c r="AG19" s="617"/>
      <c r="AH19" s="617"/>
      <c r="AI19" s="520">
        <f t="shared" si="3"/>
        <v>0</v>
      </c>
      <c r="AJ19" s="617"/>
      <c r="AK19" s="617"/>
      <c r="AL19" s="520"/>
      <c r="AM19" s="520"/>
      <c r="AN19" s="520">
        <f t="shared" si="6"/>
        <v>28500</v>
      </c>
      <c r="AO19" s="74"/>
      <c r="AP19" s="74"/>
      <c r="AQ19" s="74"/>
      <c r="AR19" s="74"/>
      <c r="AS19" s="74"/>
      <c r="AT19" s="610">
        <f t="shared" si="7"/>
        <v>28500</v>
      </c>
    </row>
    <row r="20" spans="1:46" s="529" customFormat="1" ht="63" customHeight="1" x14ac:dyDescent="0.25">
      <c r="A20" s="407"/>
      <c r="B20" s="608"/>
      <c r="C20" s="1079">
        <v>1.2</v>
      </c>
      <c r="D20" s="1083" t="s">
        <v>445</v>
      </c>
      <c r="E20" s="407" t="s">
        <v>32</v>
      </c>
      <c r="F20" s="527" t="s">
        <v>446</v>
      </c>
      <c r="G20" s="768" t="s">
        <v>431</v>
      </c>
      <c r="H20" s="134" t="s">
        <v>69</v>
      </c>
      <c r="I20" s="521"/>
      <c r="J20" s="522"/>
      <c r="K20" s="522"/>
      <c r="L20" s="609">
        <f>I20*J20*K20</f>
        <v>0</v>
      </c>
      <c r="M20" s="530"/>
      <c r="N20" s="530"/>
      <c r="O20" s="530"/>
      <c r="P20" s="530"/>
      <c r="Q20" s="530"/>
      <c r="R20" s="530"/>
      <c r="S20" s="530"/>
      <c r="T20" s="530"/>
      <c r="U20" s="520">
        <f t="shared" si="0"/>
        <v>0</v>
      </c>
      <c r="V20" s="523">
        <f>30*20+50</f>
        <v>650</v>
      </c>
      <c r="W20" s="523">
        <v>350</v>
      </c>
      <c r="X20" s="520">
        <f>V20*W20</f>
        <v>227500</v>
      </c>
      <c r="Y20" s="523"/>
      <c r="Z20" s="523"/>
      <c r="AA20" s="520">
        <f>Y20*Z20</f>
        <v>0</v>
      </c>
      <c r="AB20" s="524"/>
      <c r="AC20" s="524"/>
      <c r="AD20" s="520">
        <f>AB20*AC20</f>
        <v>0</v>
      </c>
      <c r="AE20" s="520"/>
      <c r="AF20" s="520"/>
      <c r="AG20" s="617"/>
      <c r="AH20" s="617"/>
      <c r="AI20" s="520">
        <f>AG20*AH20</f>
        <v>0</v>
      </c>
      <c r="AJ20" s="617"/>
      <c r="AK20" s="617"/>
      <c r="AL20" s="520">
        <f>AJ20*AK20</f>
        <v>0</v>
      </c>
      <c r="AM20" s="520"/>
      <c r="AN20" s="520">
        <f>L20+U20+X20+AA20+AD20+AI20+AL20+AM20+AE20+AF20</f>
        <v>227500</v>
      </c>
      <c r="AO20" s="74"/>
      <c r="AP20" s="74"/>
      <c r="AQ20" s="74"/>
      <c r="AR20" s="74"/>
      <c r="AS20" s="74"/>
      <c r="AT20" s="610">
        <f>AN20-AO20-AP20-AR20</f>
        <v>227500</v>
      </c>
    </row>
    <row r="21" spans="1:46" s="529" customFormat="1" ht="27.75" customHeight="1" x14ac:dyDescent="0.25">
      <c r="A21" s="407"/>
      <c r="B21" s="608"/>
      <c r="C21" s="1079"/>
      <c r="D21" s="1083"/>
      <c r="E21" s="407" t="s">
        <v>33</v>
      </c>
      <c r="F21" s="527" t="s">
        <v>611</v>
      </c>
      <c r="G21" s="134"/>
      <c r="H21" s="134" t="s">
        <v>65</v>
      </c>
      <c r="I21" s="521"/>
      <c r="J21" s="522"/>
      <c r="K21" s="522"/>
      <c r="L21" s="609">
        <f>I21*J21*K21</f>
        <v>0</v>
      </c>
      <c r="M21" s="530"/>
      <c r="N21" s="530"/>
      <c r="O21" s="530"/>
      <c r="P21" s="530"/>
      <c r="Q21" s="530"/>
      <c r="R21" s="530"/>
      <c r="S21" s="530"/>
      <c r="T21" s="530"/>
      <c r="U21" s="520">
        <f>(M21*N21*P21)+(M21*N21*O21*Q21)+(M21*N21*O21*R21)+(M21*O21*S21)+(M21*N21*T21)</f>
        <v>0</v>
      </c>
      <c r="V21" s="523">
        <v>60</v>
      </c>
      <c r="W21" s="523">
        <v>350</v>
      </c>
      <c r="X21" s="520">
        <f>V21*W21</f>
        <v>21000</v>
      </c>
      <c r="Y21" s="523">
        <v>40</v>
      </c>
      <c r="Z21" s="523">
        <v>1250</v>
      </c>
      <c r="AA21" s="520">
        <f>Y21*Z21</f>
        <v>50000</v>
      </c>
      <c r="AB21" s="524"/>
      <c r="AC21" s="524"/>
      <c r="AD21" s="520">
        <f>AB21*AC21</f>
        <v>0</v>
      </c>
      <c r="AE21" s="520"/>
      <c r="AF21" s="520"/>
      <c r="AG21" s="617"/>
      <c r="AH21" s="617"/>
      <c r="AI21" s="520">
        <f>AG21*AH21</f>
        <v>0</v>
      </c>
      <c r="AJ21" s="617"/>
      <c r="AK21" s="617"/>
      <c r="AL21" s="520">
        <f>AJ21*AK21</f>
        <v>0</v>
      </c>
      <c r="AM21" s="520"/>
      <c r="AN21" s="520">
        <f>L21+U21+X21+AA21+AD21+AI21+AL21+AM21+AE21+AF21</f>
        <v>71000</v>
      </c>
      <c r="AO21" s="74"/>
      <c r="AP21" s="74"/>
      <c r="AQ21" s="74"/>
      <c r="AR21" s="74"/>
      <c r="AS21" s="74"/>
      <c r="AT21" s="610">
        <f>AN21-AO21-AP21-AR21</f>
        <v>71000</v>
      </c>
    </row>
    <row r="22" spans="1:46" s="529" customFormat="1" ht="36" customHeight="1" thickBot="1" x14ac:dyDescent="0.3">
      <c r="A22" s="407"/>
      <c r="B22" s="608"/>
      <c r="C22" s="1079"/>
      <c r="D22" s="1083"/>
      <c r="E22" s="407" t="s">
        <v>34</v>
      </c>
      <c r="F22" s="134" t="s">
        <v>612</v>
      </c>
      <c r="G22" s="134"/>
      <c r="H22" s="134" t="s">
        <v>70</v>
      </c>
      <c r="I22" s="521"/>
      <c r="J22" s="612"/>
      <c r="K22" s="612"/>
      <c r="L22" s="609">
        <f>I22*J22*K22</f>
        <v>0</v>
      </c>
      <c r="M22" s="530"/>
      <c r="N22" s="530"/>
      <c r="O22" s="530"/>
      <c r="P22" s="530"/>
      <c r="Q22" s="530"/>
      <c r="R22" s="530"/>
      <c r="S22" s="530"/>
      <c r="T22" s="530"/>
      <c r="U22" s="520">
        <f>(M22*N22*P22)+(M22*N22*O22*Q22)+(M22*N22*O22*R22)+(M22*O22*S22)+(M22*N22*T22)</f>
        <v>0</v>
      </c>
      <c r="V22" s="613">
        <f>27*30</f>
        <v>810</v>
      </c>
      <c r="W22" s="523">
        <v>350</v>
      </c>
      <c r="X22" s="520">
        <f>V22*W22</f>
        <v>283500</v>
      </c>
      <c r="Y22" s="613">
        <f>27*40</f>
        <v>1080</v>
      </c>
      <c r="Z22" s="523">
        <v>1250</v>
      </c>
      <c r="AA22" s="520">
        <f>Y22*Z22</f>
        <v>1350000</v>
      </c>
      <c r="AB22" s="614"/>
      <c r="AC22" s="614"/>
      <c r="AD22" s="520">
        <f>AB22*AC22</f>
        <v>0</v>
      </c>
      <c r="AE22" s="615"/>
      <c r="AF22" s="615"/>
      <c r="AG22" s="545"/>
      <c r="AH22" s="545"/>
      <c r="AI22" s="520">
        <f>AG22*AH22</f>
        <v>0</v>
      </c>
      <c r="AJ22" s="545"/>
      <c r="AK22" s="545"/>
      <c r="AL22" s="520">
        <f>AJ22*AK22</f>
        <v>0</v>
      </c>
      <c r="AM22" s="616"/>
      <c r="AN22" s="520">
        <f>L22+U22+X22+AA22+AD22+AI22+AL22+AM22+AE22+AF22</f>
        <v>1633500</v>
      </c>
      <c r="AO22" s="74"/>
      <c r="AP22" s="74"/>
      <c r="AQ22" s="74"/>
      <c r="AR22" s="74"/>
      <c r="AS22" s="74"/>
      <c r="AT22" s="610">
        <f>AN22-AO22-AP22-AR22</f>
        <v>1633500</v>
      </c>
    </row>
    <row r="23" spans="1:46" s="525" customFormat="1" ht="29.25" customHeight="1" thickBot="1" x14ac:dyDescent="0.3">
      <c r="A23" s="407"/>
      <c r="B23" s="608"/>
      <c r="C23" s="1079">
        <v>1.2</v>
      </c>
      <c r="D23" s="1083" t="s">
        <v>661</v>
      </c>
      <c r="E23" s="407" t="s">
        <v>32</v>
      </c>
      <c r="F23" s="527" t="s">
        <v>437</v>
      </c>
      <c r="G23" s="768" t="s">
        <v>431</v>
      </c>
      <c r="H23" s="134" t="s">
        <v>65</v>
      </c>
      <c r="I23" s="521"/>
      <c r="J23" s="522"/>
      <c r="K23" s="522"/>
      <c r="L23" s="609">
        <f t="shared" si="4"/>
        <v>0</v>
      </c>
      <c r="M23" s="530"/>
      <c r="N23" s="530"/>
      <c r="O23" s="530"/>
      <c r="P23" s="530"/>
      <c r="Q23" s="530"/>
      <c r="R23" s="530"/>
      <c r="S23" s="530"/>
      <c r="T23" s="530"/>
      <c r="U23" s="520">
        <f t="shared" si="0"/>
        <v>0</v>
      </c>
      <c r="V23" s="523">
        <v>30</v>
      </c>
      <c r="W23" s="523">
        <v>350</v>
      </c>
      <c r="X23" s="520">
        <f t="shared" si="1"/>
        <v>10500</v>
      </c>
      <c r="Y23" s="523">
        <v>40</v>
      </c>
      <c r="Z23" s="523">
        <v>1250</v>
      </c>
      <c r="AA23" s="520">
        <f t="shared" si="2"/>
        <v>50000</v>
      </c>
      <c r="AB23" s="524"/>
      <c r="AC23" s="524"/>
      <c r="AD23" s="520">
        <f t="shared" si="5"/>
        <v>0</v>
      </c>
      <c r="AE23" s="520"/>
      <c r="AF23" s="520"/>
      <c r="AG23" s="617"/>
      <c r="AH23" s="617"/>
      <c r="AI23" s="520">
        <f t="shared" si="3"/>
        <v>0</v>
      </c>
      <c r="AJ23" s="617"/>
      <c r="AK23" s="617"/>
      <c r="AL23" s="520"/>
      <c r="AM23" s="520">
        <v>1000</v>
      </c>
      <c r="AN23" s="520">
        <f t="shared" si="6"/>
        <v>61500</v>
      </c>
      <c r="AO23" s="74"/>
      <c r="AP23" s="74"/>
      <c r="AQ23" s="74"/>
      <c r="AR23" s="74"/>
      <c r="AS23" s="74"/>
      <c r="AT23" s="610">
        <f t="shared" si="7"/>
        <v>61500</v>
      </c>
    </row>
    <row r="24" spans="1:46" s="525" customFormat="1" ht="62.25" customHeight="1" thickBot="1" x14ac:dyDescent="0.3">
      <c r="A24" s="407"/>
      <c r="B24" s="608"/>
      <c r="C24" s="1079"/>
      <c r="D24" s="1083"/>
      <c r="E24" s="407" t="s">
        <v>33</v>
      </c>
      <c r="F24" s="527" t="s">
        <v>662</v>
      </c>
      <c r="G24" s="768" t="s">
        <v>431</v>
      </c>
      <c r="H24" s="134" t="s">
        <v>66</v>
      </c>
      <c r="I24" s="521"/>
      <c r="J24" s="522"/>
      <c r="K24" s="522"/>
      <c r="L24" s="609">
        <f t="shared" si="4"/>
        <v>0</v>
      </c>
      <c r="M24" s="530"/>
      <c r="N24" s="530"/>
      <c r="O24" s="530"/>
      <c r="P24" s="530"/>
      <c r="Q24" s="530"/>
      <c r="R24" s="530"/>
      <c r="S24" s="530"/>
      <c r="T24" s="530"/>
      <c r="U24" s="520">
        <f t="shared" si="0"/>
        <v>0</v>
      </c>
      <c r="V24" s="523">
        <v>30</v>
      </c>
      <c r="W24" s="523">
        <v>350</v>
      </c>
      <c r="X24" s="520">
        <f t="shared" si="1"/>
        <v>10500</v>
      </c>
      <c r="Y24" s="523">
        <v>30</v>
      </c>
      <c r="Z24" s="523">
        <v>1250</v>
      </c>
      <c r="AA24" s="520">
        <f t="shared" si="2"/>
        <v>37500</v>
      </c>
      <c r="AB24" s="524"/>
      <c r="AC24" s="524"/>
      <c r="AD24" s="520">
        <f t="shared" si="5"/>
        <v>0</v>
      </c>
      <c r="AE24" s="520"/>
      <c r="AF24" s="520"/>
      <c r="AG24" s="617"/>
      <c r="AH24" s="617"/>
      <c r="AI24" s="520">
        <f t="shared" si="3"/>
        <v>0</v>
      </c>
      <c r="AJ24" s="617"/>
      <c r="AK24" s="617"/>
      <c r="AL24" s="520"/>
      <c r="AM24" s="520">
        <v>1000</v>
      </c>
      <c r="AN24" s="520">
        <f t="shared" si="6"/>
        <v>49000</v>
      </c>
      <c r="AO24" s="74"/>
      <c r="AP24" s="74"/>
      <c r="AQ24" s="74"/>
      <c r="AR24" s="74"/>
      <c r="AS24" s="74"/>
      <c r="AT24" s="610">
        <f t="shared" si="7"/>
        <v>49000</v>
      </c>
    </row>
    <row r="25" spans="1:46" s="525" customFormat="1" ht="18.75" customHeight="1" thickBot="1" x14ac:dyDescent="0.3">
      <c r="A25" s="407"/>
      <c r="B25" s="608"/>
      <c r="C25" s="1079"/>
      <c r="D25" s="1083"/>
      <c r="E25" s="407"/>
      <c r="F25" s="1094" t="s">
        <v>447</v>
      </c>
      <c r="G25" s="768" t="s">
        <v>431</v>
      </c>
      <c r="H25" s="134" t="s">
        <v>67</v>
      </c>
      <c r="I25" s="521"/>
      <c r="J25" s="522"/>
      <c r="K25" s="522"/>
      <c r="L25" s="609">
        <f t="shared" si="4"/>
        <v>0</v>
      </c>
      <c r="M25" s="530">
        <f>(1+1)*6</f>
        <v>12</v>
      </c>
      <c r="N25" s="530">
        <v>1</v>
      </c>
      <c r="O25" s="530">
        <f>40+40</f>
        <v>80</v>
      </c>
      <c r="P25" s="530">
        <v>450</v>
      </c>
      <c r="Q25" s="530">
        <v>30</v>
      </c>
      <c r="R25" s="530">
        <v>80</v>
      </c>
      <c r="S25" s="530">
        <v>20</v>
      </c>
      <c r="T25" s="530"/>
      <c r="U25" s="520">
        <f t="shared" si="0"/>
        <v>130200</v>
      </c>
      <c r="V25" s="523"/>
      <c r="W25" s="523"/>
      <c r="X25" s="520">
        <f t="shared" si="1"/>
        <v>0</v>
      </c>
      <c r="Y25" s="523"/>
      <c r="Z25" s="523"/>
      <c r="AA25" s="520">
        <f t="shared" si="2"/>
        <v>0</v>
      </c>
      <c r="AB25" s="524"/>
      <c r="AC25" s="524"/>
      <c r="AD25" s="520">
        <f t="shared" si="5"/>
        <v>0</v>
      </c>
      <c r="AE25" s="520"/>
      <c r="AF25" s="520"/>
      <c r="AG25" s="617"/>
      <c r="AH25" s="617"/>
      <c r="AI25" s="520">
        <f t="shared" si="3"/>
        <v>0</v>
      </c>
      <c r="AJ25" s="617"/>
      <c r="AK25" s="617"/>
      <c r="AL25" s="520"/>
      <c r="AM25" s="520"/>
      <c r="AN25" s="520">
        <f t="shared" si="6"/>
        <v>130200</v>
      </c>
      <c r="AO25" s="74"/>
      <c r="AP25" s="74"/>
      <c r="AQ25" s="74"/>
      <c r="AR25" s="74"/>
      <c r="AS25" s="74"/>
      <c r="AT25" s="610">
        <f t="shared" si="7"/>
        <v>130200</v>
      </c>
    </row>
    <row r="26" spans="1:46" s="525" customFormat="1" ht="22.5" customHeight="1" x14ac:dyDescent="0.25">
      <c r="A26" s="407"/>
      <c r="B26" s="608"/>
      <c r="C26" s="1079"/>
      <c r="D26" s="1083"/>
      <c r="E26" s="407" t="s">
        <v>34</v>
      </c>
      <c r="F26" s="1094"/>
      <c r="G26" s="768" t="s">
        <v>431</v>
      </c>
      <c r="H26" s="134" t="s">
        <v>68</v>
      </c>
      <c r="I26" s="521"/>
      <c r="J26" s="522"/>
      <c r="K26" s="522"/>
      <c r="L26" s="609">
        <f t="shared" si="4"/>
        <v>0</v>
      </c>
      <c r="M26" s="530">
        <f>2*20*6</f>
        <v>240</v>
      </c>
      <c r="N26" s="530">
        <v>2</v>
      </c>
      <c r="O26" s="530">
        <v>20</v>
      </c>
      <c r="P26" s="530"/>
      <c r="Q26" s="530">
        <v>25</v>
      </c>
      <c r="R26" s="530"/>
      <c r="S26" s="530">
        <v>20</v>
      </c>
      <c r="T26" s="530">
        <v>65</v>
      </c>
      <c r="U26" s="520">
        <f t="shared" si="0"/>
        <v>367200</v>
      </c>
      <c r="V26" s="523"/>
      <c r="W26" s="523"/>
      <c r="X26" s="520">
        <f t="shared" si="1"/>
        <v>0</v>
      </c>
      <c r="Y26" s="523"/>
      <c r="Z26" s="523"/>
      <c r="AA26" s="520">
        <f t="shared" si="2"/>
        <v>0</v>
      </c>
      <c r="AB26" s="524"/>
      <c r="AC26" s="524"/>
      <c r="AD26" s="520">
        <f t="shared" si="5"/>
        <v>0</v>
      </c>
      <c r="AE26" s="520"/>
      <c r="AF26" s="520"/>
      <c r="AG26" s="617"/>
      <c r="AH26" s="617"/>
      <c r="AI26" s="520">
        <f t="shared" si="3"/>
        <v>0</v>
      </c>
      <c r="AJ26" s="617"/>
      <c r="AK26" s="617"/>
      <c r="AL26" s="520"/>
      <c r="AM26" s="520"/>
      <c r="AN26" s="520">
        <f t="shared" si="6"/>
        <v>367200</v>
      </c>
      <c r="AO26" s="74"/>
      <c r="AP26" s="74"/>
      <c r="AQ26" s="74"/>
      <c r="AR26" s="74"/>
      <c r="AS26" s="74"/>
      <c r="AT26" s="610">
        <f t="shared" si="7"/>
        <v>367200</v>
      </c>
    </row>
    <row r="27" spans="1:46" s="529" customFormat="1" ht="24" customHeight="1" x14ac:dyDescent="0.25">
      <c r="A27" s="407"/>
      <c r="B27" s="608"/>
      <c r="C27" s="562">
        <v>1.3</v>
      </c>
      <c r="D27" s="1083" t="s">
        <v>664</v>
      </c>
      <c r="E27" s="407" t="s">
        <v>36</v>
      </c>
      <c r="F27" s="526" t="s">
        <v>448</v>
      </c>
      <c r="G27" s="134"/>
      <c r="H27" s="134" t="s">
        <v>71</v>
      </c>
      <c r="I27" s="521">
        <v>5</v>
      </c>
      <c r="J27" s="522">
        <v>720</v>
      </c>
      <c r="K27" s="522">
        <f>12*6</f>
        <v>72</v>
      </c>
      <c r="L27" s="609">
        <f t="shared" si="4"/>
        <v>259200</v>
      </c>
      <c r="M27" s="530"/>
      <c r="N27" s="530"/>
      <c r="O27" s="530"/>
      <c r="P27" s="530"/>
      <c r="Q27" s="530"/>
      <c r="R27" s="530"/>
      <c r="S27" s="530"/>
      <c r="T27" s="530"/>
      <c r="U27" s="520">
        <f t="shared" si="0"/>
        <v>0</v>
      </c>
      <c r="V27" s="523"/>
      <c r="W27" s="523"/>
      <c r="X27" s="520">
        <f t="shared" si="1"/>
        <v>0</v>
      </c>
      <c r="Y27" s="523"/>
      <c r="Z27" s="523"/>
      <c r="AA27" s="520">
        <f t="shared" si="2"/>
        <v>0</v>
      </c>
      <c r="AB27" s="524"/>
      <c r="AC27" s="524"/>
      <c r="AD27" s="520">
        <f t="shared" si="5"/>
        <v>0</v>
      </c>
      <c r="AE27" s="520"/>
      <c r="AF27" s="520"/>
      <c r="AG27" s="617"/>
      <c r="AH27" s="617"/>
      <c r="AI27" s="520">
        <f t="shared" si="3"/>
        <v>0</v>
      </c>
      <c r="AJ27" s="617"/>
      <c r="AK27" s="617"/>
      <c r="AL27" s="520">
        <f>AJ27*AK27</f>
        <v>0</v>
      </c>
      <c r="AM27" s="520"/>
      <c r="AN27" s="520">
        <f t="shared" si="6"/>
        <v>259200</v>
      </c>
      <c r="AO27" s="74"/>
      <c r="AP27" s="74"/>
      <c r="AQ27" s="74"/>
      <c r="AR27" s="74"/>
      <c r="AS27" s="74"/>
      <c r="AT27" s="610">
        <f t="shared" si="7"/>
        <v>259200</v>
      </c>
    </row>
    <row r="28" spans="1:46" s="529" customFormat="1" ht="42.6" customHeight="1" x14ac:dyDescent="0.25">
      <c r="A28" s="407"/>
      <c r="B28" s="608"/>
      <c r="C28" s="562"/>
      <c r="D28" s="1083"/>
      <c r="E28" s="407" t="s">
        <v>37</v>
      </c>
      <c r="F28" s="527" t="s">
        <v>449</v>
      </c>
      <c r="G28" s="134" t="s">
        <v>663</v>
      </c>
      <c r="H28" s="134"/>
      <c r="I28" s="521"/>
      <c r="J28" s="522"/>
      <c r="K28" s="522"/>
      <c r="L28" s="609">
        <f t="shared" si="4"/>
        <v>0</v>
      </c>
      <c r="M28" s="530">
        <v>2</v>
      </c>
      <c r="N28" s="530">
        <v>2</v>
      </c>
      <c r="O28" s="530">
        <v>15</v>
      </c>
      <c r="P28" s="530">
        <v>350</v>
      </c>
      <c r="Q28" s="530">
        <v>25</v>
      </c>
      <c r="R28" s="530">
        <v>50</v>
      </c>
      <c r="S28" s="530">
        <v>20</v>
      </c>
      <c r="T28" s="530"/>
      <c r="U28" s="520">
        <f t="shared" si="0"/>
        <v>6500</v>
      </c>
      <c r="V28" s="523"/>
      <c r="W28" s="523"/>
      <c r="X28" s="520">
        <f t="shared" si="1"/>
        <v>0</v>
      </c>
      <c r="Y28" s="523"/>
      <c r="Z28" s="523"/>
      <c r="AA28" s="520">
        <f t="shared" si="2"/>
        <v>0</v>
      </c>
      <c r="AB28" s="524"/>
      <c r="AC28" s="524"/>
      <c r="AD28" s="520">
        <f t="shared" si="5"/>
        <v>0</v>
      </c>
      <c r="AE28" s="520"/>
      <c r="AF28" s="520"/>
      <c r="AG28" s="617"/>
      <c r="AH28" s="617"/>
      <c r="AI28" s="520">
        <f t="shared" si="3"/>
        <v>0</v>
      </c>
      <c r="AJ28" s="617"/>
      <c r="AK28" s="617"/>
      <c r="AL28" s="520">
        <f>AJ28*AK28</f>
        <v>0</v>
      </c>
      <c r="AM28" s="520"/>
      <c r="AN28" s="520">
        <f t="shared" si="6"/>
        <v>6500</v>
      </c>
      <c r="AO28" s="74"/>
      <c r="AP28" s="74"/>
      <c r="AQ28" s="74"/>
      <c r="AR28" s="74"/>
      <c r="AS28" s="74"/>
      <c r="AT28" s="610">
        <f t="shared" si="7"/>
        <v>6500</v>
      </c>
    </row>
    <row r="29" spans="1:46" s="529" customFormat="1" ht="46.5" customHeight="1" thickBot="1" x14ac:dyDescent="0.3">
      <c r="A29" s="407"/>
      <c r="B29" s="608"/>
      <c r="C29" s="562"/>
      <c r="D29" s="1083"/>
      <c r="E29" s="407" t="s">
        <v>38</v>
      </c>
      <c r="F29" s="134" t="s">
        <v>450</v>
      </c>
      <c r="G29" s="134"/>
      <c r="H29" s="134" t="s">
        <v>72</v>
      </c>
      <c r="I29" s="521"/>
      <c r="J29" s="612"/>
      <c r="K29" s="612"/>
      <c r="L29" s="609">
        <f t="shared" si="4"/>
        <v>0</v>
      </c>
      <c r="M29" s="530"/>
      <c r="N29" s="530"/>
      <c r="O29" s="613"/>
      <c r="P29" s="613"/>
      <c r="Q29" s="613"/>
      <c r="R29" s="613"/>
      <c r="S29" s="613"/>
      <c r="T29" s="613"/>
      <c r="U29" s="520">
        <f t="shared" si="0"/>
        <v>0</v>
      </c>
      <c r="V29" s="613"/>
      <c r="W29" s="613"/>
      <c r="X29" s="520">
        <f t="shared" si="1"/>
        <v>0</v>
      </c>
      <c r="Y29" s="613"/>
      <c r="Z29" s="613"/>
      <c r="AA29" s="520">
        <f t="shared" si="2"/>
        <v>0</v>
      </c>
      <c r="AB29" s="614"/>
      <c r="AC29" s="614"/>
      <c r="AD29" s="520">
        <f t="shared" si="5"/>
        <v>0</v>
      </c>
      <c r="AE29" s="615"/>
      <c r="AF29" s="615"/>
      <c r="AG29" s="545"/>
      <c r="AH29" s="545"/>
      <c r="AI29" s="520">
        <f t="shared" si="3"/>
        <v>0</v>
      </c>
      <c r="AJ29" s="545"/>
      <c r="AK29" s="545"/>
      <c r="AL29" s="520">
        <f>AJ29*AK29</f>
        <v>0</v>
      </c>
      <c r="AM29" s="616">
        <v>9000</v>
      </c>
      <c r="AN29" s="520">
        <f t="shared" si="6"/>
        <v>9000</v>
      </c>
      <c r="AO29" s="74"/>
      <c r="AP29" s="74"/>
      <c r="AQ29" s="74"/>
      <c r="AR29" s="74"/>
      <c r="AS29" s="74"/>
      <c r="AT29" s="610">
        <f t="shared" si="7"/>
        <v>9000</v>
      </c>
    </row>
    <row r="30" spans="1:46" s="519" customFormat="1" ht="28.5" customHeight="1" x14ac:dyDescent="0.25">
      <c r="A30" s="407"/>
      <c r="B30" s="608"/>
      <c r="C30" s="1079">
        <v>1.4</v>
      </c>
      <c r="D30" s="1083" t="s">
        <v>451</v>
      </c>
      <c r="E30" s="407" t="s">
        <v>41</v>
      </c>
      <c r="F30" s="741" t="s">
        <v>452</v>
      </c>
      <c r="G30" s="134" t="s">
        <v>30</v>
      </c>
      <c r="H30" s="134"/>
      <c r="I30" s="521"/>
      <c r="J30" s="522"/>
      <c r="K30" s="522"/>
      <c r="L30" s="609">
        <f t="shared" si="4"/>
        <v>0</v>
      </c>
      <c r="M30" s="530"/>
      <c r="N30" s="530"/>
      <c r="O30" s="530"/>
      <c r="P30" s="530"/>
      <c r="Q30" s="530"/>
      <c r="R30" s="530"/>
      <c r="S30" s="530"/>
      <c r="T30" s="530"/>
      <c r="U30" s="520">
        <f t="shared" si="0"/>
        <v>0</v>
      </c>
      <c r="V30" s="523"/>
      <c r="W30" s="523"/>
      <c r="X30" s="520">
        <f t="shared" si="1"/>
        <v>0</v>
      </c>
      <c r="Y30" s="523"/>
      <c r="Z30" s="523"/>
      <c r="AA30" s="520">
        <f t="shared" si="2"/>
        <v>0</v>
      </c>
      <c r="AB30" s="524"/>
      <c r="AC30" s="524"/>
      <c r="AD30" s="520">
        <f t="shared" si="5"/>
        <v>0</v>
      </c>
      <c r="AE30" s="520"/>
      <c r="AF30" s="520">
        <v>250000</v>
      </c>
      <c r="AG30" s="617"/>
      <c r="AH30" s="617"/>
      <c r="AI30" s="520">
        <f t="shared" si="3"/>
        <v>0</v>
      </c>
      <c r="AJ30" s="617"/>
      <c r="AK30" s="617"/>
      <c r="AL30" s="520">
        <f>AJ30*AK30</f>
        <v>0</v>
      </c>
      <c r="AM30" s="520"/>
      <c r="AN30" s="520">
        <f t="shared" si="6"/>
        <v>250000</v>
      </c>
      <c r="AO30" s="74"/>
      <c r="AP30" s="74"/>
      <c r="AQ30" s="74"/>
      <c r="AR30" s="74">
        <v>250000</v>
      </c>
      <c r="AS30" s="74"/>
      <c r="AT30" s="610">
        <f t="shared" si="7"/>
        <v>0</v>
      </c>
    </row>
    <row r="31" spans="1:46" s="529" customFormat="1" ht="90.75" customHeight="1" x14ac:dyDescent="0.25">
      <c r="A31" s="407"/>
      <c r="B31" s="608"/>
      <c r="C31" s="1079"/>
      <c r="D31" s="1083"/>
      <c r="E31" s="407" t="s">
        <v>43</v>
      </c>
      <c r="F31" s="527" t="s">
        <v>453</v>
      </c>
      <c r="G31" s="134"/>
      <c r="H31" s="134" t="s">
        <v>73</v>
      </c>
      <c r="I31" s="521"/>
      <c r="J31" s="612"/>
      <c r="K31" s="612"/>
      <c r="L31" s="609">
        <f t="shared" si="4"/>
        <v>0</v>
      </c>
      <c r="M31" s="530">
        <f>1*6</f>
        <v>6</v>
      </c>
      <c r="N31" s="530">
        <v>1</v>
      </c>
      <c r="O31" s="613">
        <v>40</v>
      </c>
      <c r="P31" s="613"/>
      <c r="Q31" s="613">
        <v>25</v>
      </c>
      <c r="R31" s="613"/>
      <c r="S31" s="613">
        <v>20</v>
      </c>
      <c r="T31" s="613">
        <v>65</v>
      </c>
      <c r="U31" s="520">
        <f t="shared" si="0"/>
        <v>11190</v>
      </c>
      <c r="V31" s="613"/>
      <c r="W31" s="613"/>
      <c r="X31" s="520">
        <f t="shared" si="1"/>
        <v>0</v>
      </c>
      <c r="Y31" s="613"/>
      <c r="Z31" s="613"/>
      <c r="AA31" s="520">
        <f t="shared" si="2"/>
        <v>0</v>
      </c>
      <c r="AB31" s="614"/>
      <c r="AC31" s="614"/>
      <c r="AD31" s="520">
        <f t="shared" si="5"/>
        <v>0</v>
      </c>
      <c r="AE31" s="615"/>
      <c r="AF31" s="615"/>
      <c r="AG31" s="545"/>
      <c r="AH31" s="545"/>
      <c r="AI31" s="520">
        <f t="shared" si="3"/>
        <v>0</v>
      </c>
      <c r="AJ31" s="545"/>
      <c r="AK31" s="545"/>
      <c r="AL31" s="520">
        <f>AJ31*AK31</f>
        <v>0</v>
      </c>
      <c r="AM31" s="616"/>
      <c r="AN31" s="520">
        <f t="shared" si="6"/>
        <v>11190</v>
      </c>
      <c r="AO31" s="74"/>
      <c r="AP31" s="74"/>
      <c r="AQ31" s="74"/>
      <c r="AR31" s="74"/>
      <c r="AS31" s="74"/>
      <c r="AT31" s="610">
        <f t="shared" si="7"/>
        <v>11190</v>
      </c>
    </row>
    <row r="32" spans="1:46" s="519" customFormat="1" ht="51.75" customHeight="1" x14ac:dyDescent="0.25">
      <c r="A32" s="407"/>
      <c r="B32" s="608"/>
      <c r="C32" s="1079"/>
      <c r="D32" s="1083" t="s">
        <v>454</v>
      </c>
      <c r="E32" s="407" t="s">
        <v>45</v>
      </c>
      <c r="F32" s="527" t="s">
        <v>665</v>
      </c>
      <c r="G32" s="1093" t="s">
        <v>434</v>
      </c>
      <c r="H32" s="134" t="s">
        <v>74</v>
      </c>
      <c r="I32" s="521"/>
      <c r="J32" s="522"/>
      <c r="K32" s="522"/>
      <c r="L32" s="609">
        <f t="shared" si="4"/>
        <v>0</v>
      </c>
      <c r="M32" s="530"/>
      <c r="N32" s="530"/>
      <c r="O32" s="530"/>
      <c r="P32" s="530"/>
      <c r="Q32" s="530"/>
      <c r="R32" s="530"/>
      <c r="S32" s="530"/>
      <c r="T32" s="530"/>
      <c r="U32" s="520">
        <f t="shared" si="0"/>
        <v>0</v>
      </c>
      <c r="V32" s="523"/>
      <c r="W32" s="523"/>
      <c r="X32" s="520">
        <f t="shared" si="1"/>
        <v>0</v>
      </c>
      <c r="Y32" s="523"/>
      <c r="Z32" s="523"/>
      <c r="AA32" s="520">
        <f t="shared" si="2"/>
        <v>0</v>
      </c>
      <c r="AB32" s="524"/>
      <c r="AC32" s="524"/>
      <c r="AD32" s="520">
        <f t="shared" si="5"/>
        <v>0</v>
      </c>
      <c r="AE32" s="520"/>
      <c r="AF32" s="520"/>
      <c r="AG32" s="617"/>
      <c r="AH32" s="617"/>
      <c r="AI32" s="520">
        <f t="shared" si="3"/>
        <v>0</v>
      </c>
      <c r="AJ32" s="617"/>
      <c r="AK32" s="617"/>
      <c r="AL32" s="520"/>
      <c r="AM32" s="520"/>
      <c r="AN32" s="520">
        <f t="shared" si="6"/>
        <v>0</v>
      </c>
      <c r="AO32" s="74"/>
      <c r="AP32" s="74"/>
      <c r="AQ32" s="74"/>
      <c r="AR32" s="74"/>
      <c r="AS32" s="74"/>
      <c r="AT32" s="610">
        <f t="shared" si="7"/>
        <v>0</v>
      </c>
    </row>
    <row r="33" spans="1:46" s="525" customFormat="1" ht="36" customHeight="1" x14ac:dyDescent="0.25">
      <c r="A33" s="407"/>
      <c r="B33" s="608"/>
      <c r="C33" s="1079"/>
      <c r="D33" s="1083"/>
      <c r="E33" s="407" t="s">
        <v>75</v>
      </c>
      <c r="F33" s="526" t="s">
        <v>455</v>
      </c>
      <c r="G33" s="1093"/>
      <c r="H33" s="134" t="s">
        <v>76</v>
      </c>
      <c r="I33" s="521"/>
      <c r="J33" s="522"/>
      <c r="K33" s="522"/>
      <c r="L33" s="609">
        <f t="shared" si="4"/>
        <v>0</v>
      </c>
      <c r="M33" s="530"/>
      <c r="N33" s="530"/>
      <c r="O33" s="530"/>
      <c r="P33" s="530"/>
      <c r="Q33" s="530"/>
      <c r="R33" s="530"/>
      <c r="S33" s="530"/>
      <c r="T33" s="530"/>
      <c r="U33" s="520">
        <f t="shared" si="0"/>
        <v>0</v>
      </c>
      <c r="V33" s="523"/>
      <c r="W33" s="523"/>
      <c r="X33" s="520">
        <f t="shared" si="1"/>
        <v>0</v>
      </c>
      <c r="Y33" s="523"/>
      <c r="Z33" s="523"/>
      <c r="AA33" s="520">
        <f t="shared" si="2"/>
        <v>0</v>
      </c>
      <c r="AB33" s="524"/>
      <c r="AC33" s="524"/>
      <c r="AD33" s="520">
        <f t="shared" si="5"/>
        <v>0</v>
      </c>
      <c r="AE33" s="520"/>
      <c r="AF33" s="520"/>
      <c r="AG33" s="617"/>
      <c r="AH33" s="617"/>
      <c r="AI33" s="520">
        <f t="shared" si="3"/>
        <v>0</v>
      </c>
      <c r="AJ33" s="617"/>
      <c r="AK33" s="617"/>
      <c r="AL33" s="520">
        <f t="shared" ref="AL33:AL38" si="8">AJ33*AK33</f>
        <v>0</v>
      </c>
      <c r="AM33" s="520"/>
      <c r="AN33" s="520">
        <f t="shared" si="6"/>
        <v>0</v>
      </c>
      <c r="AO33" s="74"/>
      <c r="AP33" s="74"/>
      <c r="AQ33" s="74"/>
      <c r="AR33" s="74"/>
      <c r="AS33" s="74"/>
      <c r="AT33" s="610">
        <f t="shared" si="7"/>
        <v>0</v>
      </c>
    </row>
    <row r="34" spans="1:46" s="529" customFormat="1" ht="56.25" x14ac:dyDescent="0.25">
      <c r="A34" s="407"/>
      <c r="B34" s="608"/>
      <c r="C34" s="562">
        <v>1.6</v>
      </c>
      <c r="D34" s="407" t="s">
        <v>456</v>
      </c>
      <c r="E34" s="407" t="s">
        <v>112</v>
      </c>
      <c r="F34" s="527" t="s">
        <v>457</v>
      </c>
      <c r="G34" s="134"/>
      <c r="H34" s="134" t="s">
        <v>77</v>
      </c>
      <c r="I34" s="521"/>
      <c r="J34" s="522"/>
      <c r="K34" s="522"/>
      <c r="L34" s="609">
        <f t="shared" si="4"/>
        <v>0</v>
      </c>
      <c r="M34" s="530">
        <v>20</v>
      </c>
      <c r="N34" s="530">
        <v>3</v>
      </c>
      <c r="O34" s="530">
        <v>15</v>
      </c>
      <c r="P34" s="530"/>
      <c r="Q34" s="530">
        <v>25</v>
      </c>
      <c r="R34" s="530"/>
      <c r="S34" s="530">
        <v>5</v>
      </c>
      <c r="T34" s="530">
        <v>65</v>
      </c>
      <c r="U34" s="520">
        <f t="shared" si="0"/>
        <v>27900</v>
      </c>
      <c r="V34" s="617"/>
      <c r="W34" s="617"/>
      <c r="X34" s="520">
        <f t="shared" si="1"/>
        <v>0</v>
      </c>
      <c r="Y34" s="523"/>
      <c r="Z34" s="523"/>
      <c r="AA34" s="520">
        <f t="shared" si="2"/>
        <v>0</v>
      </c>
      <c r="AB34" s="524"/>
      <c r="AC34" s="524"/>
      <c r="AD34" s="520">
        <f t="shared" si="5"/>
        <v>0</v>
      </c>
      <c r="AE34" s="520"/>
      <c r="AF34" s="520"/>
      <c r="AG34" s="617"/>
      <c r="AH34" s="617"/>
      <c r="AI34" s="520">
        <f t="shared" si="3"/>
        <v>0</v>
      </c>
      <c r="AJ34" s="617"/>
      <c r="AK34" s="617"/>
      <c r="AL34" s="520">
        <f t="shared" si="8"/>
        <v>0</v>
      </c>
      <c r="AM34" s="520"/>
      <c r="AN34" s="520">
        <f t="shared" si="6"/>
        <v>27900</v>
      </c>
      <c r="AO34" s="74"/>
      <c r="AP34" s="74"/>
      <c r="AQ34" s="74"/>
      <c r="AR34" s="74"/>
      <c r="AS34" s="74"/>
      <c r="AT34" s="610">
        <f t="shared" si="7"/>
        <v>27900</v>
      </c>
    </row>
    <row r="35" spans="1:46" s="529" customFormat="1" ht="42" customHeight="1" x14ac:dyDescent="0.25">
      <c r="A35" s="407"/>
      <c r="B35" s="608"/>
      <c r="C35" s="1079">
        <v>1.7</v>
      </c>
      <c r="D35" s="1083" t="s">
        <v>458</v>
      </c>
      <c r="E35" s="407" t="s">
        <v>200</v>
      </c>
      <c r="F35" s="527" t="s">
        <v>613</v>
      </c>
      <c r="G35" s="134"/>
      <c r="H35" s="134" t="s">
        <v>78</v>
      </c>
      <c r="I35" s="521"/>
      <c r="J35" s="522"/>
      <c r="K35" s="522"/>
      <c r="L35" s="609">
        <f t="shared" si="4"/>
        <v>0</v>
      </c>
      <c r="M35" s="530">
        <v>23</v>
      </c>
      <c r="N35" s="530">
        <v>2</v>
      </c>
      <c r="O35" s="530">
        <v>20</v>
      </c>
      <c r="P35" s="530"/>
      <c r="Q35" s="530">
        <v>25</v>
      </c>
      <c r="R35" s="530"/>
      <c r="S35" s="530">
        <v>10</v>
      </c>
      <c r="T35" s="530">
        <v>65</v>
      </c>
      <c r="U35" s="520">
        <f t="shared" si="0"/>
        <v>30590</v>
      </c>
      <c r="V35" s="523">
        <v>20</v>
      </c>
      <c r="W35" s="523">
        <v>350</v>
      </c>
      <c r="X35" s="520">
        <f t="shared" si="1"/>
        <v>7000</v>
      </c>
      <c r="Y35" s="523">
        <v>20</v>
      </c>
      <c r="Z35" s="523">
        <v>1250</v>
      </c>
      <c r="AA35" s="520">
        <f t="shared" si="2"/>
        <v>25000</v>
      </c>
      <c r="AB35" s="524"/>
      <c r="AC35" s="524"/>
      <c r="AD35" s="520">
        <f t="shared" si="5"/>
        <v>0</v>
      </c>
      <c r="AE35" s="520"/>
      <c r="AF35" s="520"/>
      <c r="AG35" s="617"/>
      <c r="AH35" s="617"/>
      <c r="AI35" s="520">
        <f t="shared" si="3"/>
        <v>0</v>
      </c>
      <c r="AJ35" s="617"/>
      <c r="AK35" s="617"/>
      <c r="AL35" s="520">
        <f t="shared" si="8"/>
        <v>0</v>
      </c>
      <c r="AM35" s="520"/>
      <c r="AN35" s="520">
        <f t="shared" si="6"/>
        <v>62590</v>
      </c>
      <c r="AO35" s="74"/>
      <c r="AP35" s="74"/>
      <c r="AQ35" s="74"/>
      <c r="AR35" s="74"/>
      <c r="AS35" s="74"/>
      <c r="AT35" s="610">
        <f t="shared" si="7"/>
        <v>62590</v>
      </c>
    </row>
    <row r="36" spans="1:46" s="529" customFormat="1" ht="48.75" customHeight="1" x14ac:dyDescent="0.25">
      <c r="A36" s="407"/>
      <c r="B36" s="608"/>
      <c r="C36" s="1079"/>
      <c r="D36" s="1083"/>
      <c r="E36" s="407" t="s">
        <v>201</v>
      </c>
      <c r="F36" s="134" t="s">
        <v>459</v>
      </c>
      <c r="G36" s="134"/>
      <c r="H36" s="134" t="s">
        <v>79</v>
      </c>
      <c r="I36" s="521"/>
      <c r="J36" s="522"/>
      <c r="K36" s="522"/>
      <c r="L36" s="609">
        <f t="shared" si="4"/>
        <v>0</v>
      </c>
      <c r="M36" s="530">
        <v>6</v>
      </c>
      <c r="N36" s="530">
        <v>3</v>
      </c>
      <c r="O36" s="530">
        <v>10</v>
      </c>
      <c r="P36" s="530"/>
      <c r="Q36" s="530">
        <v>25</v>
      </c>
      <c r="R36" s="530"/>
      <c r="S36" s="530">
        <v>10</v>
      </c>
      <c r="T36" s="530">
        <v>65</v>
      </c>
      <c r="U36" s="520">
        <f t="shared" si="0"/>
        <v>6270</v>
      </c>
      <c r="V36" s="523"/>
      <c r="W36" s="523"/>
      <c r="X36" s="520">
        <f t="shared" si="1"/>
        <v>0</v>
      </c>
      <c r="Y36" s="523"/>
      <c r="Z36" s="523"/>
      <c r="AA36" s="520">
        <f t="shared" si="2"/>
        <v>0</v>
      </c>
      <c r="AB36" s="524"/>
      <c r="AC36" s="524"/>
      <c r="AD36" s="520">
        <f t="shared" si="5"/>
        <v>0</v>
      </c>
      <c r="AE36" s="520"/>
      <c r="AF36" s="520"/>
      <c r="AG36" s="617"/>
      <c r="AH36" s="617"/>
      <c r="AI36" s="520">
        <f t="shared" si="3"/>
        <v>0</v>
      </c>
      <c r="AJ36" s="617"/>
      <c r="AK36" s="617"/>
      <c r="AL36" s="520">
        <f t="shared" si="8"/>
        <v>0</v>
      </c>
      <c r="AM36" s="520">
        <f>(3*2*500)+ (3*2*5*80)+(3*2*5*50)</f>
        <v>6900</v>
      </c>
      <c r="AN36" s="520">
        <f t="shared" si="6"/>
        <v>13170</v>
      </c>
      <c r="AO36" s="74"/>
      <c r="AP36" s="74"/>
      <c r="AQ36" s="74"/>
      <c r="AR36" s="74"/>
      <c r="AS36" s="74"/>
      <c r="AT36" s="610">
        <f t="shared" si="7"/>
        <v>13170</v>
      </c>
    </row>
    <row r="37" spans="1:46" s="529" customFormat="1" ht="27" customHeight="1" x14ac:dyDescent="0.25">
      <c r="A37" s="407"/>
      <c r="B37" s="608"/>
      <c r="C37" s="1079"/>
      <c r="D37" s="1083"/>
      <c r="E37" s="407" t="s">
        <v>202</v>
      </c>
      <c r="F37" s="134"/>
      <c r="G37" s="134"/>
      <c r="H37" s="134"/>
      <c r="I37" s="521"/>
      <c r="J37" s="612"/>
      <c r="K37" s="612"/>
      <c r="L37" s="609">
        <f t="shared" si="4"/>
        <v>0</v>
      </c>
      <c r="M37" s="530"/>
      <c r="N37" s="530"/>
      <c r="O37" s="613"/>
      <c r="P37" s="613"/>
      <c r="Q37" s="613"/>
      <c r="R37" s="613"/>
      <c r="S37" s="613"/>
      <c r="T37" s="613"/>
      <c r="U37" s="520">
        <f t="shared" si="0"/>
        <v>0</v>
      </c>
      <c r="V37" s="613"/>
      <c r="W37" s="613"/>
      <c r="X37" s="520">
        <f t="shared" si="1"/>
        <v>0</v>
      </c>
      <c r="Y37" s="613"/>
      <c r="Z37" s="613"/>
      <c r="AA37" s="520">
        <f t="shared" si="2"/>
        <v>0</v>
      </c>
      <c r="AB37" s="614"/>
      <c r="AC37" s="614"/>
      <c r="AD37" s="520">
        <f t="shared" si="5"/>
        <v>0</v>
      </c>
      <c r="AE37" s="615"/>
      <c r="AF37" s="615"/>
      <c r="AG37" s="545"/>
      <c r="AH37" s="545"/>
      <c r="AI37" s="520">
        <f t="shared" si="3"/>
        <v>0</v>
      </c>
      <c r="AJ37" s="545"/>
      <c r="AK37" s="545"/>
      <c r="AL37" s="520">
        <f t="shared" si="8"/>
        <v>0</v>
      </c>
      <c r="AM37" s="616"/>
      <c r="AN37" s="520">
        <f t="shared" si="6"/>
        <v>0</v>
      </c>
      <c r="AO37" s="74"/>
      <c r="AP37" s="74"/>
      <c r="AQ37" s="74"/>
      <c r="AR37" s="74"/>
      <c r="AS37" s="74"/>
      <c r="AT37" s="610">
        <f t="shared" si="7"/>
        <v>0</v>
      </c>
    </row>
    <row r="38" spans="1:46" s="519" customFormat="1" ht="39.75" customHeight="1" x14ac:dyDescent="0.25">
      <c r="A38" s="407"/>
      <c r="B38" s="608"/>
      <c r="C38" s="1079">
        <v>1.8</v>
      </c>
      <c r="D38" s="1083" t="s">
        <v>666</v>
      </c>
      <c r="E38" s="407" t="s">
        <v>113</v>
      </c>
      <c r="F38" s="134" t="s">
        <v>460</v>
      </c>
      <c r="G38" s="134"/>
      <c r="H38" s="134" t="s">
        <v>80</v>
      </c>
      <c r="I38" s="521"/>
      <c r="J38" s="522"/>
      <c r="K38" s="522"/>
      <c r="L38" s="609">
        <f t="shared" si="4"/>
        <v>0</v>
      </c>
      <c r="M38" s="530"/>
      <c r="N38" s="530"/>
      <c r="O38" s="530"/>
      <c r="P38" s="530"/>
      <c r="Q38" s="530"/>
      <c r="R38" s="530"/>
      <c r="S38" s="530"/>
      <c r="T38" s="530"/>
      <c r="U38" s="520">
        <f t="shared" si="0"/>
        <v>0</v>
      </c>
      <c r="V38" s="523">
        <v>30</v>
      </c>
      <c r="W38" s="523">
        <v>350</v>
      </c>
      <c r="X38" s="520">
        <f t="shared" si="1"/>
        <v>10500</v>
      </c>
      <c r="Y38" s="523">
        <v>35</v>
      </c>
      <c r="Z38" s="523">
        <v>1250</v>
      </c>
      <c r="AA38" s="520">
        <f t="shared" si="2"/>
        <v>43750</v>
      </c>
      <c r="AB38" s="524"/>
      <c r="AC38" s="524"/>
      <c r="AD38" s="520">
        <f t="shared" si="5"/>
        <v>0</v>
      </c>
      <c r="AE38" s="520"/>
      <c r="AF38" s="520"/>
      <c r="AG38" s="617"/>
      <c r="AH38" s="617"/>
      <c r="AI38" s="520">
        <f t="shared" si="3"/>
        <v>0</v>
      </c>
      <c r="AJ38" s="617"/>
      <c r="AK38" s="617"/>
      <c r="AL38" s="520">
        <f t="shared" si="8"/>
        <v>0</v>
      </c>
      <c r="AM38" s="520">
        <v>1500</v>
      </c>
      <c r="AN38" s="520">
        <f t="shared" si="6"/>
        <v>55750</v>
      </c>
      <c r="AO38" s="74"/>
      <c r="AP38" s="74"/>
      <c r="AQ38" s="74"/>
      <c r="AR38" s="74"/>
      <c r="AS38" s="74"/>
      <c r="AT38" s="610">
        <f t="shared" si="7"/>
        <v>55750</v>
      </c>
    </row>
    <row r="39" spans="1:46" s="519" customFormat="1" ht="42.75" customHeight="1" x14ac:dyDescent="0.25">
      <c r="A39" s="407"/>
      <c r="B39" s="608"/>
      <c r="C39" s="1079"/>
      <c r="D39" s="1083"/>
      <c r="E39" s="407" t="s">
        <v>114</v>
      </c>
      <c r="F39" s="134" t="s">
        <v>461</v>
      </c>
      <c r="G39" s="134"/>
      <c r="H39" s="134"/>
      <c r="I39" s="521"/>
      <c r="J39" s="522"/>
      <c r="K39" s="522"/>
      <c r="L39" s="609">
        <f t="shared" si="4"/>
        <v>0</v>
      </c>
      <c r="M39" s="530"/>
      <c r="N39" s="530"/>
      <c r="O39" s="530"/>
      <c r="P39" s="530"/>
      <c r="Q39" s="530"/>
      <c r="R39" s="530"/>
      <c r="S39" s="530"/>
      <c r="T39" s="530"/>
      <c r="U39" s="520">
        <f t="shared" si="0"/>
        <v>0</v>
      </c>
      <c r="V39" s="523">
        <v>10</v>
      </c>
      <c r="W39" s="523">
        <v>350</v>
      </c>
      <c r="X39" s="520">
        <f t="shared" si="1"/>
        <v>3500</v>
      </c>
      <c r="Y39" s="523">
        <v>10</v>
      </c>
      <c r="Z39" s="523">
        <v>1250</v>
      </c>
      <c r="AA39" s="520">
        <f t="shared" si="2"/>
        <v>12500</v>
      </c>
      <c r="AB39" s="524"/>
      <c r="AC39" s="524"/>
      <c r="AD39" s="520">
        <f t="shared" si="5"/>
        <v>0</v>
      </c>
      <c r="AE39" s="520"/>
      <c r="AF39" s="520"/>
      <c r="AG39" s="617"/>
      <c r="AH39" s="617"/>
      <c r="AI39" s="520">
        <f t="shared" si="3"/>
        <v>0</v>
      </c>
      <c r="AJ39" s="617"/>
      <c r="AK39" s="617"/>
      <c r="AL39" s="520"/>
      <c r="AM39" s="520"/>
      <c r="AN39" s="520">
        <f t="shared" si="6"/>
        <v>16000</v>
      </c>
      <c r="AO39" s="74"/>
      <c r="AP39" s="74"/>
      <c r="AQ39" s="74"/>
      <c r="AR39" s="74"/>
      <c r="AS39" s="74"/>
      <c r="AT39" s="610">
        <f t="shared" si="7"/>
        <v>16000</v>
      </c>
    </row>
    <row r="40" spans="1:46" s="525" customFormat="1" ht="40.5" customHeight="1" x14ac:dyDescent="0.25">
      <c r="A40" s="407"/>
      <c r="B40" s="608"/>
      <c r="C40" s="1079"/>
      <c r="D40" s="1083"/>
      <c r="E40" s="407" t="s">
        <v>118</v>
      </c>
      <c r="F40" s="134" t="s">
        <v>462</v>
      </c>
      <c r="G40" s="134"/>
      <c r="H40" s="134"/>
      <c r="I40" s="521"/>
      <c r="J40" s="522"/>
      <c r="K40" s="522"/>
      <c r="L40" s="609">
        <f t="shared" si="4"/>
        <v>0</v>
      </c>
      <c r="M40" s="530"/>
      <c r="N40" s="530"/>
      <c r="O40" s="530"/>
      <c r="P40" s="530"/>
      <c r="Q40" s="530"/>
      <c r="R40" s="530"/>
      <c r="S40" s="530"/>
      <c r="T40" s="530"/>
      <c r="U40" s="520">
        <f t="shared" si="0"/>
        <v>0</v>
      </c>
      <c r="V40" s="523">
        <v>10</v>
      </c>
      <c r="W40" s="523">
        <v>350</v>
      </c>
      <c r="X40" s="520">
        <f t="shared" si="1"/>
        <v>3500</v>
      </c>
      <c r="Y40" s="523">
        <v>20</v>
      </c>
      <c r="Z40" s="523">
        <v>1250</v>
      </c>
      <c r="AA40" s="520">
        <f t="shared" si="2"/>
        <v>25000</v>
      </c>
      <c r="AB40" s="524"/>
      <c r="AC40" s="524"/>
      <c r="AD40" s="520">
        <f t="shared" si="5"/>
        <v>0</v>
      </c>
      <c r="AE40" s="520"/>
      <c r="AF40" s="520"/>
      <c r="AG40" s="617"/>
      <c r="AH40" s="617"/>
      <c r="AI40" s="520">
        <f t="shared" si="3"/>
        <v>0</v>
      </c>
      <c r="AJ40" s="617"/>
      <c r="AK40" s="617"/>
      <c r="AL40" s="520">
        <f>AJ40*AK40</f>
        <v>0</v>
      </c>
      <c r="AM40" s="520"/>
      <c r="AN40" s="520">
        <f t="shared" si="6"/>
        <v>28500</v>
      </c>
      <c r="AO40" s="74"/>
      <c r="AP40" s="74"/>
      <c r="AQ40" s="74"/>
      <c r="AR40" s="74"/>
      <c r="AS40" s="74"/>
      <c r="AT40" s="610">
        <f t="shared" si="7"/>
        <v>28500</v>
      </c>
    </row>
    <row r="41" spans="1:46" s="529" customFormat="1" ht="57.75" customHeight="1" x14ac:dyDescent="0.25">
      <c r="A41" s="407"/>
      <c r="B41" s="608"/>
      <c r="C41" s="1079"/>
      <c r="D41" s="1083"/>
      <c r="E41" s="407" t="s">
        <v>119</v>
      </c>
      <c r="F41" s="134" t="s">
        <v>463</v>
      </c>
      <c r="G41" s="134"/>
      <c r="H41" s="134" t="s">
        <v>81</v>
      </c>
      <c r="I41" s="521"/>
      <c r="J41" s="612"/>
      <c r="K41" s="612"/>
      <c r="L41" s="609">
        <f t="shared" si="4"/>
        <v>0</v>
      </c>
      <c r="M41" s="530">
        <v>15</v>
      </c>
      <c r="N41" s="530">
        <v>2</v>
      </c>
      <c r="O41" s="613">
        <v>20</v>
      </c>
      <c r="P41" s="613">
        <v>350</v>
      </c>
      <c r="Q41" s="613">
        <v>25</v>
      </c>
      <c r="R41" s="613">
        <v>50</v>
      </c>
      <c r="S41" s="613">
        <v>10</v>
      </c>
      <c r="T41" s="613"/>
      <c r="U41" s="520">
        <f t="shared" si="0"/>
        <v>58500</v>
      </c>
      <c r="V41" s="618">
        <v>250</v>
      </c>
      <c r="W41" s="613">
        <v>350</v>
      </c>
      <c r="X41" s="520">
        <f t="shared" si="1"/>
        <v>87500</v>
      </c>
      <c r="Y41" s="618">
        <f>35 +(19*10)</f>
        <v>225</v>
      </c>
      <c r="Z41" s="613">
        <v>1250</v>
      </c>
      <c r="AA41" s="520">
        <f t="shared" si="2"/>
        <v>281250</v>
      </c>
      <c r="AB41" s="614"/>
      <c r="AC41" s="614"/>
      <c r="AD41" s="520">
        <f t="shared" si="5"/>
        <v>0</v>
      </c>
      <c r="AE41" s="615"/>
      <c r="AF41" s="615"/>
      <c r="AG41" s="545"/>
      <c r="AH41" s="545"/>
      <c r="AI41" s="520">
        <f t="shared" si="3"/>
        <v>0</v>
      </c>
      <c r="AJ41" s="545"/>
      <c r="AK41" s="545"/>
      <c r="AL41" s="520">
        <f>AJ41*AK41</f>
        <v>0</v>
      </c>
      <c r="AM41" s="616"/>
      <c r="AN41" s="520">
        <f t="shared" si="6"/>
        <v>427250</v>
      </c>
      <c r="AO41" s="74"/>
      <c r="AP41" s="74"/>
      <c r="AQ41" s="74"/>
      <c r="AR41" s="74"/>
      <c r="AS41" s="74"/>
      <c r="AT41" s="610">
        <f t="shared" si="7"/>
        <v>427250</v>
      </c>
    </row>
    <row r="42" spans="1:46" s="529" customFormat="1" ht="24" customHeight="1" x14ac:dyDescent="0.25">
      <c r="A42" s="407"/>
      <c r="B42" s="619"/>
      <c r="C42" s="620"/>
      <c r="D42" s="447"/>
      <c r="E42" s="447"/>
      <c r="F42" s="448"/>
      <c r="G42" s="448"/>
      <c r="H42" s="448"/>
      <c r="I42" s="532"/>
      <c r="J42" s="621"/>
      <c r="K42" s="621"/>
      <c r="L42" s="534">
        <f>SUM(L10:L41)</f>
        <v>259200</v>
      </c>
      <c r="M42" s="534"/>
      <c r="N42" s="534"/>
      <c r="O42" s="534"/>
      <c r="P42" s="534"/>
      <c r="Q42" s="534"/>
      <c r="R42" s="534"/>
      <c r="S42" s="534"/>
      <c r="T42" s="534"/>
      <c r="U42" s="534">
        <f>SUM(U10:U41)</f>
        <v>780425</v>
      </c>
      <c r="V42" s="534"/>
      <c r="W42" s="534"/>
      <c r="X42" s="534">
        <f>SUM(X10:X41)</f>
        <v>2163000</v>
      </c>
      <c r="Y42" s="534"/>
      <c r="Z42" s="534"/>
      <c r="AA42" s="534">
        <f>SUM(AA10:AA41)</f>
        <v>5637500</v>
      </c>
      <c r="AB42" s="534"/>
      <c r="AC42" s="534"/>
      <c r="AD42" s="534">
        <f t="shared" ref="AD42:AT42" si="9">SUM(AD10:AD41)</f>
        <v>28500</v>
      </c>
      <c r="AE42" s="534">
        <f t="shared" si="9"/>
        <v>0</v>
      </c>
      <c r="AF42" s="534">
        <f t="shared" si="9"/>
        <v>250000</v>
      </c>
      <c r="AG42" s="634">
        <f t="shared" si="9"/>
        <v>0</v>
      </c>
      <c r="AH42" s="634">
        <f t="shared" si="9"/>
        <v>0</v>
      </c>
      <c r="AI42" s="534">
        <f t="shared" si="9"/>
        <v>0</v>
      </c>
      <c r="AJ42" s="634">
        <f t="shared" si="9"/>
        <v>0</v>
      </c>
      <c r="AK42" s="634">
        <f t="shared" si="9"/>
        <v>0</v>
      </c>
      <c r="AL42" s="534">
        <f t="shared" si="9"/>
        <v>0</v>
      </c>
      <c r="AM42" s="534">
        <f t="shared" si="9"/>
        <v>85400</v>
      </c>
      <c r="AN42" s="534">
        <f t="shared" si="9"/>
        <v>9204025</v>
      </c>
      <c r="AO42" s="534">
        <f t="shared" si="9"/>
        <v>8000</v>
      </c>
      <c r="AP42" s="534">
        <f t="shared" si="9"/>
        <v>450000</v>
      </c>
      <c r="AQ42" s="534">
        <f t="shared" si="9"/>
        <v>0</v>
      </c>
      <c r="AR42" s="534">
        <f t="shared" si="9"/>
        <v>300000</v>
      </c>
      <c r="AS42" s="534">
        <f t="shared" si="9"/>
        <v>0</v>
      </c>
      <c r="AT42" s="534">
        <f t="shared" si="9"/>
        <v>8446025</v>
      </c>
    </row>
    <row r="43" spans="1:46" s="525" customFormat="1" ht="32.25" customHeight="1" thickBot="1" x14ac:dyDescent="0.3">
      <c r="A43" s="1090" t="s">
        <v>639</v>
      </c>
      <c r="B43" s="1091"/>
      <c r="C43" s="1091"/>
      <c r="D43" s="1091"/>
      <c r="E43" s="1091"/>
      <c r="F43" s="1091"/>
      <c r="G43" s="1091"/>
      <c r="H43" s="1091"/>
      <c r="I43" s="1091"/>
      <c r="J43" s="1091"/>
      <c r="K43" s="1091"/>
      <c r="L43" s="1091"/>
      <c r="M43" s="1091"/>
      <c r="N43" s="1091"/>
      <c r="O43" s="1091"/>
      <c r="P43" s="1091"/>
      <c r="Q43" s="1091"/>
      <c r="R43" s="1091"/>
      <c r="S43" s="1091"/>
      <c r="T43" s="1091"/>
      <c r="U43" s="1091"/>
      <c r="V43" s="1091"/>
      <c r="W43" s="1091"/>
      <c r="X43" s="1091"/>
      <c r="Y43" s="1091"/>
      <c r="Z43" s="1091"/>
      <c r="AA43" s="1091"/>
      <c r="AB43" s="1091"/>
      <c r="AC43" s="1091"/>
      <c r="AD43" s="1091"/>
      <c r="AE43" s="1091"/>
      <c r="AF43" s="1091"/>
      <c r="AG43" s="1091"/>
      <c r="AH43" s="1091"/>
      <c r="AI43" s="1091"/>
      <c r="AJ43" s="1091"/>
      <c r="AK43" s="1091"/>
      <c r="AL43" s="1091"/>
      <c r="AM43" s="1091"/>
      <c r="AN43" s="1091"/>
      <c r="AO43" s="1091"/>
      <c r="AP43" s="1091"/>
      <c r="AQ43" s="1091"/>
      <c r="AR43" s="1091"/>
      <c r="AS43" s="1091"/>
      <c r="AT43" s="1092"/>
    </row>
    <row r="44" spans="1:46" s="529" customFormat="1" ht="28.5" customHeight="1" thickBot="1" x14ac:dyDescent="0.3">
      <c r="A44" s="1083">
        <v>3</v>
      </c>
      <c r="B44" s="1036"/>
      <c r="C44" s="1083">
        <v>2.1</v>
      </c>
      <c r="D44" s="1128" t="s">
        <v>667</v>
      </c>
      <c r="E44" s="407" t="s">
        <v>16</v>
      </c>
      <c r="F44" s="770" t="s">
        <v>465</v>
      </c>
      <c r="G44" s="768" t="s">
        <v>431</v>
      </c>
      <c r="H44" s="134"/>
      <c r="I44" s="521"/>
      <c r="J44" s="612"/>
      <c r="K44" s="612"/>
      <c r="L44" s="609">
        <f t="shared" si="4"/>
        <v>0</v>
      </c>
      <c r="M44" s="530"/>
      <c r="N44" s="530"/>
      <c r="O44" s="613"/>
      <c r="P44" s="613"/>
      <c r="Q44" s="613"/>
      <c r="R44" s="613"/>
      <c r="S44" s="613"/>
      <c r="T44" s="613"/>
      <c r="U44" s="520">
        <f t="shared" si="0"/>
        <v>0</v>
      </c>
      <c r="V44" s="613">
        <v>10</v>
      </c>
      <c r="W44" s="613">
        <v>350</v>
      </c>
      <c r="X44" s="520">
        <f t="shared" si="1"/>
        <v>3500</v>
      </c>
      <c r="Y44" s="613">
        <v>20</v>
      </c>
      <c r="Z44" s="613">
        <v>1200</v>
      </c>
      <c r="AA44" s="520">
        <f t="shared" si="2"/>
        <v>24000</v>
      </c>
      <c r="AB44" s="614"/>
      <c r="AC44" s="614"/>
      <c r="AD44" s="520">
        <f t="shared" si="5"/>
        <v>0</v>
      </c>
      <c r="AE44" s="615"/>
      <c r="AF44" s="615"/>
      <c r="AG44" s="545"/>
      <c r="AH44" s="545"/>
      <c r="AI44" s="520">
        <f t="shared" si="3"/>
        <v>0</v>
      </c>
      <c r="AJ44" s="545"/>
      <c r="AK44" s="545"/>
      <c r="AL44" s="520">
        <f>AJ44*AK44</f>
        <v>0</v>
      </c>
      <c r="AM44" s="616">
        <v>1000</v>
      </c>
      <c r="AN44" s="520">
        <f t="shared" si="6"/>
        <v>28500</v>
      </c>
      <c r="AO44" s="74"/>
      <c r="AP44" s="74"/>
      <c r="AQ44" s="74"/>
      <c r="AR44" s="74"/>
      <c r="AS44" s="74"/>
      <c r="AT44" s="610">
        <f t="shared" si="7"/>
        <v>28500</v>
      </c>
    </row>
    <row r="45" spans="1:46" ht="22.5" x14ac:dyDescent="0.25">
      <c r="A45" s="1083"/>
      <c r="B45" s="1036"/>
      <c r="C45" s="1083"/>
      <c r="D45" s="1128"/>
      <c r="E45" s="407" t="s">
        <v>17</v>
      </c>
      <c r="F45" s="106" t="s">
        <v>466</v>
      </c>
      <c r="G45" s="768" t="s">
        <v>431</v>
      </c>
      <c r="H45" s="134"/>
      <c r="I45" s="521"/>
      <c r="J45" s="522"/>
      <c r="K45" s="522"/>
      <c r="L45" s="609">
        <f t="shared" si="4"/>
        <v>0</v>
      </c>
      <c r="M45" s="530"/>
      <c r="N45" s="530"/>
      <c r="O45" s="530"/>
      <c r="P45" s="530"/>
      <c r="Q45" s="530"/>
      <c r="R45" s="530"/>
      <c r="S45" s="530"/>
      <c r="T45" s="530"/>
      <c r="U45" s="520">
        <f t="shared" si="0"/>
        <v>0</v>
      </c>
      <c r="V45" s="523">
        <v>60</v>
      </c>
      <c r="W45" s="523">
        <v>350</v>
      </c>
      <c r="X45" s="520">
        <f t="shared" si="1"/>
        <v>21000</v>
      </c>
      <c r="Y45" s="523">
        <v>50</v>
      </c>
      <c r="Z45" s="523">
        <v>1200</v>
      </c>
      <c r="AA45" s="520">
        <f t="shared" si="2"/>
        <v>60000</v>
      </c>
      <c r="AB45" s="524"/>
      <c r="AC45" s="524"/>
      <c r="AD45" s="520">
        <f t="shared" si="5"/>
        <v>0</v>
      </c>
      <c r="AE45" s="520"/>
      <c r="AF45" s="520"/>
      <c r="AG45" s="617"/>
      <c r="AH45" s="617"/>
      <c r="AI45" s="520">
        <f t="shared" si="3"/>
        <v>0</v>
      </c>
      <c r="AJ45" s="617"/>
      <c r="AK45" s="617"/>
      <c r="AL45" s="520"/>
      <c r="AM45" s="520">
        <v>1500</v>
      </c>
      <c r="AN45" s="520">
        <f t="shared" si="6"/>
        <v>82500</v>
      </c>
      <c r="AO45" s="74"/>
      <c r="AP45" s="74"/>
      <c r="AQ45" s="74"/>
      <c r="AR45" s="74"/>
      <c r="AS45" s="74"/>
      <c r="AT45" s="610">
        <f t="shared" si="7"/>
        <v>82500</v>
      </c>
    </row>
    <row r="46" spans="1:46" ht="12" thickBot="1" x14ac:dyDescent="0.3">
      <c r="A46" s="1083"/>
      <c r="B46" s="1036"/>
      <c r="C46" s="1083"/>
      <c r="D46" s="1128"/>
      <c r="E46" s="407" t="s">
        <v>46</v>
      </c>
      <c r="F46" s="106"/>
      <c r="G46" s="134"/>
      <c r="H46" s="134"/>
      <c r="I46" s="521"/>
      <c r="J46" s="522"/>
      <c r="K46" s="522"/>
      <c r="L46" s="609">
        <f t="shared" si="4"/>
        <v>0</v>
      </c>
      <c r="M46" s="530"/>
      <c r="N46" s="530"/>
      <c r="O46" s="530"/>
      <c r="P46" s="530"/>
      <c r="Q46" s="530"/>
      <c r="R46" s="530"/>
      <c r="S46" s="530"/>
      <c r="T46" s="530"/>
      <c r="U46" s="520">
        <f t="shared" si="0"/>
        <v>0</v>
      </c>
      <c r="V46" s="523"/>
      <c r="W46" s="523"/>
      <c r="X46" s="520">
        <f t="shared" si="1"/>
        <v>0</v>
      </c>
      <c r="Y46" s="523"/>
      <c r="Z46" s="523"/>
      <c r="AA46" s="520">
        <f t="shared" si="2"/>
        <v>0</v>
      </c>
      <c r="AB46" s="524"/>
      <c r="AC46" s="524"/>
      <c r="AD46" s="520">
        <f t="shared" si="5"/>
        <v>0</v>
      </c>
      <c r="AE46" s="520"/>
      <c r="AF46" s="520"/>
      <c r="AG46" s="617"/>
      <c r="AH46" s="617"/>
      <c r="AI46" s="520">
        <f t="shared" si="3"/>
        <v>0</v>
      </c>
      <c r="AJ46" s="617"/>
      <c r="AK46" s="617"/>
      <c r="AL46" s="520">
        <f>AJ46*AK46</f>
        <v>0</v>
      </c>
      <c r="AM46" s="520"/>
      <c r="AN46" s="520">
        <f t="shared" si="6"/>
        <v>0</v>
      </c>
      <c r="AO46" s="74"/>
      <c r="AP46" s="74"/>
      <c r="AQ46" s="74"/>
      <c r="AR46" s="74"/>
      <c r="AS46" s="74"/>
      <c r="AT46" s="610">
        <f t="shared" si="7"/>
        <v>0</v>
      </c>
    </row>
    <row r="47" spans="1:46" ht="75" customHeight="1" thickBot="1" x14ac:dyDescent="0.3">
      <c r="A47" s="1083"/>
      <c r="B47" s="1036"/>
      <c r="C47" s="1083">
        <v>2.2000000000000002</v>
      </c>
      <c r="D47" s="1128" t="s">
        <v>668</v>
      </c>
      <c r="E47" s="407" t="s">
        <v>15</v>
      </c>
      <c r="F47" s="770" t="s">
        <v>669</v>
      </c>
      <c r="G47" s="768" t="s">
        <v>431</v>
      </c>
      <c r="H47" s="134"/>
      <c r="I47" s="521"/>
      <c r="J47" s="522"/>
      <c r="K47" s="522"/>
      <c r="L47" s="609">
        <f t="shared" si="4"/>
        <v>0</v>
      </c>
      <c r="M47" s="530"/>
      <c r="N47" s="530"/>
      <c r="O47" s="530"/>
      <c r="P47" s="530"/>
      <c r="Q47" s="530"/>
      <c r="R47" s="530"/>
      <c r="S47" s="530"/>
      <c r="T47" s="530"/>
      <c r="U47" s="520">
        <f t="shared" si="0"/>
        <v>0</v>
      </c>
      <c r="V47" s="523">
        <v>20</v>
      </c>
      <c r="W47" s="523">
        <v>350</v>
      </c>
      <c r="X47" s="520">
        <f t="shared" si="1"/>
        <v>7000</v>
      </c>
      <c r="Y47" s="523">
        <v>20</v>
      </c>
      <c r="Z47" s="523">
        <v>1200</v>
      </c>
      <c r="AA47" s="520">
        <f t="shared" si="2"/>
        <v>24000</v>
      </c>
      <c r="AB47" s="524"/>
      <c r="AC47" s="524"/>
      <c r="AD47" s="520">
        <f t="shared" si="5"/>
        <v>0</v>
      </c>
      <c r="AE47" s="520"/>
      <c r="AF47" s="520"/>
      <c r="AG47" s="617"/>
      <c r="AH47" s="617"/>
      <c r="AI47" s="520">
        <f t="shared" si="3"/>
        <v>0</v>
      </c>
      <c r="AJ47" s="617"/>
      <c r="AK47" s="617"/>
      <c r="AL47" s="520">
        <f>AJ47*AK47</f>
        <v>0</v>
      </c>
      <c r="AM47" s="520">
        <v>2000</v>
      </c>
      <c r="AN47" s="520">
        <f t="shared" si="6"/>
        <v>33000</v>
      </c>
      <c r="AO47" s="74"/>
      <c r="AP47" s="74"/>
      <c r="AQ47" s="74"/>
      <c r="AR47" s="74"/>
      <c r="AS47" s="74"/>
      <c r="AT47" s="610">
        <f t="shared" si="7"/>
        <v>33000</v>
      </c>
    </row>
    <row r="48" spans="1:46" ht="51.75" customHeight="1" thickBot="1" x14ac:dyDescent="0.3">
      <c r="A48" s="1083"/>
      <c r="B48" s="1036"/>
      <c r="C48" s="1083"/>
      <c r="D48" s="1128"/>
      <c r="E48" s="407" t="s">
        <v>18</v>
      </c>
      <c r="F48" s="106" t="s">
        <v>467</v>
      </c>
      <c r="G48" s="768" t="s">
        <v>431</v>
      </c>
      <c r="H48" s="134"/>
      <c r="I48" s="521"/>
      <c r="J48" s="522"/>
      <c r="K48" s="522"/>
      <c r="L48" s="609">
        <f t="shared" si="4"/>
        <v>0</v>
      </c>
      <c r="M48" s="530"/>
      <c r="N48" s="530"/>
      <c r="O48" s="530"/>
      <c r="P48" s="530"/>
      <c r="Q48" s="530"/>
      <c r="R48" s="530"/>
      <c r="S48" s="530"/>
      <c r="T48" s="530"/>
      <c r="U48" s="520">
        <f t="shared" si="0"/>
        <v>0</v>
      </c>
      <c r="V48" s="523">
        <v>2</v>
      </c>
      <c r="W48" s="523">
        <v>350</v>
      </c>
      <c r="X48" s="520">
        <f t="shared" si="1"/>
        <v>700</v>
      </c>
      <c r="Y48" s="523">
        <v>5</v>
      </c>
      <c r="Z48" s="523">
        <v>1200</v>
      </c>
      <c r="AA48" s="520">
        <f t="shared" si="2"/>
        <v>6000</v>
      </c>
      <c r="AB48" s="524"/>
      <c r="AC48" s="524"/>
      <c r="AD48" s="520">
        <f t="shared" si="5"/>
        <v>0</v>
      </c>
      <c r="AE48" s="520"/>
      <c r="AF48" s="520"/>
      <c r="AG48" s="617"/>
      <c r="AH48" s="617"/>
      <c r="AI48" s="520">
        <f t="shared" si="3"/>
        <v>0</v>
      </c>
      <c r="AJ48" s="617"/>
      <c r="AK48" s="617"/>
      <c r="AL48" s="520"/>
      <c r="AM48" s="520"/>
      <c r="AN48" s="520">
        <f t="shared" si="6"/>
        <v>6700</v>
      </c>
      <c r="AO48" s="74"/>
      <c r="AP48" s="74"/>
      <c r="AQ48" s="74"/>
      <c r="AR48" s="74"/>
      <c r="AS48" s="74"/>
      <c r="AT48" s="610">
        <f t="shared" si="7"/>
        <v>6700</v>
      </c>
    </row>
    <row r="49" spans="1:46" ht="42.75" customHeight="1" thickBot="1" x14ac:dyDescent="0.3">
      <c r="A49" s="1083"/>
      <c r="B49" s="1036"/>
      <c r="C49" s="1083"/>
      <c r="D49" s="1128"/>
      <c r="E49" s="407" t="s">
        <v>47</v>
      </c>
      <c r="F49" s="106" t="s">
        <v>670</v>
      </c>
      <c r="G49" s="768" t="s">
        <v>431</v>
      </c>
      <c r="H49" s="134"/>
      <c r="I49" s="521"/>
      <c r="J49" s="522"/>
      <c r="K49" s="522"/>
      <c r="L49" s="609">
        <f t="shared" si="4"/>
        <v>0</v>
      </c>
      <c r="M49" s="530"/>
      <c r="N49" s="530"/>
      <c r="O49" s="530"/>
      <c r="P49" s="530"/>
      <c r="Q49" s="530"/>
      <c r="R49" s="530"/>
      <c r="S49" s="530"/>
      <c r="T49" s="530"/>
      <c r="U49" s="520">
        <f t="shared" si="0"/>
        <v>0</v>
      </c>
      <c r="V49" s="523">
        <v>5</v>
      </c>
      <c r="W49" s="523">
        <v>350</v>
      </c>
      <c r="X49" s="520">
        <f t="shared" si="1"/>
        <v>1750</v>
      </c>
      <c r="Y49" s="523">
        <v>10</v>
      </c>
      <c r="Z49" s="523">
        <v>1200</v>
      </c>
      <c r="AA49" s="520">
        <f t="shared" si="2"/>
        <v>12000</v>
      </c>
      <c r="AB49" s="524"/>
      <c r="AC49" s="524"/>
      <c r="AD49" s="520">
        <f t="shared" si="5"/>
        <v>0</v>
      </c>
      <c r="AE49" s="520"/>
      <c r="AF49" s="520"/>
      <c r="AG49" s="617"/>
      <c r="AH49" s="617"/>
      <c r="AI49" s="520">
        <f t="shared" si="3"/>
        <v>0</v>
      </c>
      <c r="AJ49" s="617"/>
      <c r="AK49" s="617"/>
      <c r="AL49" s="520">
        <f>AJ49*AK49</f>
        <v>0</v>
      </c>
      <c r="AM49" s="520">
        <v>1000</v>
      </c>
      <c r="AN49" s="520">
        <f t="shared" si="6"/>
        <v>14750</v>
      </c>
      <c r="AO49" s="74"/>
      <c r="AP49" s="74"/>
      <c r="AQ49" s="74"/>
      <c r="AR49" s="74"/>
      <c r="AS49" s="74"/>
      <c r="AT49" s="610">
        <f t="shared" si="7"/>
        <v>14750</v>
      </c>
    </row>
    <row r="50" spans="1:46" ht="46.5" customHeight="1" x14ac:dyDescent="0.25">
      <c r="A50" s="1083"/>
      <c r="B50" s="1036"/>
      <c r="C50" s="1083">
        <v>2.2999999999999998</v>
      </c>
      <c r="D50" s="1128" t="s">
        <v>468</v>
      </c>
      <c r="E50" s="407" t="s">
        <v>48</v>
      </c>
      <c r="F50" s="113" t="s">
        <v>671</v>
      </c>
      <c r="G50" s="768" t="s">
        <v>431</v>
      </c>
      <c r="H50" s="134"/>
      <c r="I50" s="521"/>
      <c r="J50" s="522"/>
      <c r="K50" s="522"/>
      <c r="L50" s="609">
        <f t="shared" si="4"/>
        <v>0</v>
      </c>
      <c r="M50" s="530"/>
      <c r="N50" s="530"/>
      <c r="O50" s="530"/>
      <c r="P50" s="530"/>
      <c r="Q50" s="530"/>
      <c r="R50" s="530"/>
      <c r="S50" s="530"/>
      <c r="T50" s="530"/>
      <c r="U50" s="520">
        <f t="shared" si="0"/>
        <v>0</v>
      </c>
      <c r="V50" s="523"/>
      <c r="W50" s="523"/>
      <c r="X50" s="520">
        <f t="shared" si="1"/>
        <v>0</v>
      </c>
      <c r="Y50" s="523"/>
      <c r="Z50" s="523"/>
      <c r="AA50" s="520">
        <f t="shared" si="2"/>
        <v>0</v>
      </c>
      <c r="AB50" s="524"/>
      <c r="AC50" s="524"/>
      <c r="AD50" s="520">
        <f t="shared" si="5"/>
        <v>0</v>
      </c>
      <c r="AE50" s="520"/>
      <c r="AF50" s="520"/>
      <c r="AG50" s="617"/>
      <c r="AH50" s="617"/>
      <c r="AI50" s="520">
        <f t="shared" si="3"/>
        <v>0</v>
      </c>
      <c r="AJ50" s="617"/>
      <c r="AK50" s="617"/>
      <c r="AL50" s="520">
        <f>AJ50*AK50</f>
        <v>0</v>
      </c>
      <c r="AM50" s="520">
        <v>7500</v>
      </c>
      <c r="AN50" s="520">
        <f t="shared" si="6"/>
        <v>7500</v>
      </c>
      <c r="AO50" s="74">
        <v>7500</v>
      </c>
      <c r="AP50" s="74"/>
      <c r="AQ50" s="74"/>
      <c r="AR50" s="74"/>
      <c r="AS50" s="74"/>
      <c r="AT50" s="610">
        <f t="shared" si="7"/>
        <v>0</v>
      </c>
    </row>
    <row r="51" spans="1:46" ht="27" customHeight="1" thickBot="1" x14ac:dyDescent="0.3">
      <c r="A51" s="1083"/>
      <c r="B51" s="1036"/>
      <c r="C51" s="1083"/>
      <c r="D51" s="1128"/>
      <c r="E51" s="407" t="s">
        <v>82</v>
      </c>
      <c r="F51" s="134"/>
      <c r="G51" s="134"/>
      <c r="H51" s="134"/>
      <c r="I51" s="521"/>
      <c r="J51" s="522"/>
      <c r="K51" s="522"/>
      <c r="L51" s="609">
        <f t="shared" si="4"/>
        <v>0</v>
      </c>
      <c r="M51" s="530"/>
      <c r="N51" s="530"/>
      <c r="O51" s="530"/>
      <c r="P51" s="530"/>
      <c r="Q51" s="530"/>
      <c r="R51" s="530"/>
      <c r="S51" s="530"/>
      <c r="T51" s="530"/>
      <c r="U51" s="520">
        <f t="shared" si="0"/>
        <v>0</v>
      </c>
      <c r="V51" s="523"/>
      <c r="W51" s="523"/>
      <c r="X51" s="520">
        <f t="shared" si="1"/>
        <v>0</v>
      </c>
      <c r="Y51" s="523"/>
      <c r="Z51" s="523"/>
      <c r="AA51" s="520">
        <f t="shared" si="2"/>
        <v>0</v>
      </c>
      <c r="AB51" s="524"/>
      <c r="AC51" s="524"/>
      <c r="AD51" s="520">
        <f t="shared" si="5"/>
        <v>0</v>
      </c>
      <c r="AE51" s="520"/>
      <c r="AF51" s="520"/>
      <c r="AG51" s="617"/>
      <c r="AH51" s="617"/>
      <c r="AI51" s="520">
        <f t="shared" si="3"/>
        <v>0</v>
      </c>
      <c r="AJ51" s="617"/>
      <c r="AK51" s="617"/>
      <c r="AL51" s="520">
        <f>AJ51*AK51</f>
        <v>0</v>
      </c>
      <c r="AM51" s="520"/>
      <c r="AN51" s="520">
        <f t="shared" si="6"/>
        <v>0</v>
      </c>
      <c r="AO51" s="74"/>
      <c r="AP51" s="74"/>
      <c r="AQ51" s="74"/>
      <c r="AR51" s="74"/>
      <c r="AS51" s="74"/>
      <c r="AT51" s="610">
        <f t="shared" si="7"/>
        <v>0</v>
      </c>
    </row>
    <row r="52" spans="1:46" ht="42.75" customHeight="1" thickBot="1" x14ac:dyDescent="0.3">
      <c r="A52" s="1083"/>
      <c r="B52" s="1036"/>
      <c r="C52" s="1083">
        <v>2.4</v>
      </c>
      <c r="D52" s="1128" t="s">
        <v>470</v>
      </c>
      <c r="E52" s="407" t="s">
        <v>50</v>
      </c>
      <c r="F52" s="134" t="s">
        <v>471</v>
      </c>
      <c r="G52" s="768" t="s">
        <v>431</v>
      </c>
      <c r="H52" s="134"/>
      <c r="I52" s="521"/>
      <c r="J52" s="522"/>
      <c r="K52" s="522"/>
      <c r="L52" s="609">
        <f t="shared" si="4"/>
        <v>0</v>
      </c>
      <c r="M52" s="530"/>
      <c r="N52" s="530"/>
      <c r="O52" s="530"/>
      <c r="P52" s="530"/>
      <c r="Q52" s="530"/>
      <c r="R52" s="530"/>
      <c r="S52" s="530"/>
      <c r="T52" s="530"/>
      <c r="U52" s="520">
        <f t="shared" si="0"/>
        <v>0</v>
      </c>
      <c r="V52" s="523"/>
      <c r="W52" s="523"/>
      <c r="X52" s="520">
        <f t="shared" si="1"/>
        <v>0</v>
      </c>
      <c r="Y52" s="523"/>
      <c r="Z52" s="523"/>
      <c r="AA52" s="520">
        <f t="shared" si="2"/>
        <v>0</v>
      </c>
      <c r="AB52" s="524"/>
      <c r="AC52" s="524"/>
      <c r="AD52" s="520">
        <f t="shared" si="5"/>
        <v>0</v>
      </c>
      <c r="AE52" s="520"/>
      <c r="AF52" s="520"/>
      <c r="AG52" s="617"/>
      <c r="AH52" s="617"/>
      <c r="AI52" s="520">
        <f t="shared" si="3"/>
        <v>0</v>
      </c>
      <c r="AJ52" s="617"/>
      <c r="AK52" s="617"/>
      <c r="AL52" s="520">
        <f>AJ52*AK52</f>
        <v>0</v>
      </c>
      <c r="AM52" s="520">
        <v>9000</v>
      </c>
      <c r="AN52" s="520">
        <f t="shared" si="6"/>
        <v>9000</v>
      </c>
      <c r="AO52" s="74"/>
      <c r="AP52" s="74"/>
      <c r="AQ52" s="74"/>
      <c r="AR52" s="74"/>
      <c r="AS52" s="74"/>
      <c r="AT52" s="610">
        <f t="shared" si="7"/>
        <v>9000</v>
      </c>
    </row>
    <row r="53" spans="1:46" ht="24" customHeight="1" thickBot="1" x14ac:dyDescent="0.3">
      <c r="A53" s="1083"/>
      <c r="B53" s="1036"/>
      <c r="C53" s="1083"/>
      <c r="D53" s="1128"/>
      <c r="E53" s="407" t="s">
        <v>51</v>
      </c>
      <c r="F53" s="134" t="s">
        <v>472</v>
      </c>
      <c r="G53" s="768" t="s">
        <v>431</v>
      </c>
      <c r="H53" s="134"/>
      <c r="I53" s="521"/>
      <c r="J53" s="522"/>
      <c r="K53" s="522"/>
      <c r="L53" s="609">
        <f t="shared" si="4"/>
        <v>0</v>
      </c>
      <c r="M53" s="530"/>
      <c r="N53" s="530"/>
      <c r="O53" s="530"/>
      <c r="P53" s="530"/>
      <c r="Q53" s="530"/>
      <c r="R53" s="530"/>
      <c r="S53" s="530"/>
      <c r="T53" s="530"/>
      <c r="U53" s="520">
        <f t="shared" si="0"/>
        <v>0</v>
      </c>
      <c r="V53" s="523"/>
      <c r="W53" s="523"/>
      <c r="X53" s="520">
        <f t="shared" si="1"/>
        <v>0</v>
      </c>
      <c r="Y53" s="523"/>
      <c r="Z53" s="523"/>
      <c r="AA53" s="520">
        <f t="shared" si="2"/>
        <v>0</v>
      </c>
      <c r="AB53" s="524"/>
      <c r="AC53" s="524"/>
      <c r="AD53" s="520">
        <f t="shared" si="5"/>
        <v>0</v>
      </c>
      <c r="AE53" s="520"/>
      <c r="AF53" s="520"/>
      <c r="AG53" s="617"/>
      <c r="AH53" s="617"/>
      <c r="AI53" s="520">
        <f t="shared" si="3"/>
        <v>0</v>
      </c>
      <c r="AJ53" s="617"/>
      <c r="AK53" s="617"/>
      <c r="AL53" s="520"/>
      <c r="AM53" s="520"/>
      <c r="AN53" s="520">
        <f t="shared" si="6"/>
        <v>0</v>
      </c>
      <c r="AO53" s="74"/>
      <c r="AP53" s="74"/>
      <c r="AQ53" s="74"/>
      <c r="AR53" s="74"/>
      <c r="AS53" s="74"/>
      <c r="AT53" s="610">
        <f t="shared" si="7"/>
        <v>0</v>
      </c>
    </row>
    <row r="54" spans="1:46" ht="45.75" customHeight="1" thickBot="1" x14ac:dyDescent="0.3">
      <c r="A54" s="1083"/>
      <c r="B54" s="1036"/>
      <c r="C54" s="1083"/>
      <c r="D54" s="1128"/>
      <c r="E54" s="407" t="s">
        <v>52</v>
      </c>
      <c r="F54" s="787" t="s">
        <v>469</v>
      </c>
      <c r="G54" s="768" t="s">
        <v>431</v>
      </c>
      <c r="H54" s="134"/>
      <c r="I54" s="521"/>
      <c r="J54" s="522"/>
      <c r="K54" s="522"/>
      <c r="L54" s="609">
        <f t="shared" si="4"/>
        <v>0</v>
      </c>
      <c r="M54" s="530"/>
      <c r="N54" s="530"/>
      <c r="O54" s="530"/>
      <c r="P54" s="530"/>
      <c r="Q54" s="530"/>
      <c r="R54" s="530"/>
      <c r="S54" s="530"/>
      <c r="T54" s="530"/>
      <c r="U54" s="520">
        <f t="shared" si="0"/>
        <v>0</v>
      </c>
      <c r="V54" s="523"/>
      <c r="W54" s="523"/>
      <c r="X54" s="520">
        <f t="shared" si="1"/>
        <v>0</v>
      </c>
      <c r="Y54" s="523"/>
      <c r="Z54" s="523"/>
      <c r="AA54" s="520">
        <f t="shared" si="2"/>
        <v>0</v>
      </c>
      <c r="AB54" s="524"/>
      <c r="AC54" s="524"/>
      <c r="AD54" s="520">
        <f t="shared" si="5"/>
        <v>0</v>
      </c>
      <c r="AE54" s="520"/>
      <c r="AF54" s="520"/>
      <c r="AG54" s="617"/>
      <c r="AH54" s="617"/>
      <c r="AI54" s="520">
        <f t="shared" si="3"/>
        <v>0</v>
      </c>
      <c r="AJ54" s="617"/>
      <c r="AK54" s="617"/>
      <c r="AL54" s="520"/>
      <c r="AM54" s="520"/>
      <c r="AN54" s="520">
        <f t="shared" si="6"/>
        <v>0</v>
      </c>
      <c r="AO54" s="74"/>
      <c r="AP54" s="74"/>
      <c r="AQ54" s="74"/>
      <c r="AR54" s="74"/>
      <c r="AS54" s="74"/>
      <c r="AT54" s="610">
        <f t="shared" si="7"/>
        <v>0</v>
      </c>
    </row>
    <row r="55" spans="1:46" ht="33.75" customHeight="1" thickBot="1" x14ac:dyDescent="0.3">
      <c r="A55" s="1083"/>
      <c r="B55" s="1036"/>
      <c r="C55" s="1083"/>
      <c r="D55" s="1128"/>
      <c r="E55" s="407" t="s">
        <v>83</v>
      </c>
      <c r="F55" s="527" t="s">
        <v>473</v>
      </c>
      <c r="G55" s="768" t="s">
        <v>431</v>
      </c>
      <c r="H55" s="134"/>
      <c r="I55" s="521"/>
      <c r="J55" s="522"/>
      <c r="K55" s="522"/>
      <c r="L55" s="609">
        <f t="shared" si="4"/>
        <v>0</v>
      </c>
      <c r="M55" s="530"/>
      <c r="N55" s="530"/>
      <c r="O55" s="530"/>
      <c r="P55" s="530"/>
      <c r="Q55" s="530"/>
      <c r="R55" s="530"/>
      <c r="S55" s="530"/>
      <c r="T55" s="530"/>
      <c r="U55" s="520">
        <f t="shared" si="0"/>
        <v>0</v>
      </c>
      <c r="V55" s="523"/>
      <c r="W55" s="523"/>
      <c r="X55" s="520">
        <f t="shared" si="1"/>
        <v>0</v>
      </c>
      <c r="Y55" s="523"/>
      <c r="Z55" s="523"/>
      <c r="AA55" s="520">
        <f t="shared" si="2"/>
        <v>0</v>
      </c>
      <c r="AB55" s="524"/>
      <c r="AC55" s="524"/>
      <c r="AD55" s="520">
        <f t="shared" si="5"/>
        <v>0</v>
      </c>
      <c r="AE55" s="520"/>
      <c r="AF55" s="520"/>
      <c r="AG55" s="617"/>
      <c r="AH55" s="617"/>
      <c r="AI55" s="520">
        <f t="shared" si="3"/>
        <v>0</v>
      </c>
      <c r="AJ55" s="617"/>
      <c r="AK55" s="617"/>
      <c r="AL55" s="520">
        <f>AJ55*AK55</f>
        <v>0</v>
      </c>
      <c r="AM55" s="520">
        <f>(12*1*500)+ (12*2*1*80)+(12*1*2*50)</f>
        <v>9120</v>
      </c>
      <c r="AN55" s="520">
        <f t="shared" si="6"/>
        <v>9120</v>
      </c>
      <c r="AO55" s="74"/>
      <c r="AP55" s="74"/>
      <c r="AQ55" s="74"/>
      <c r="AR55" s="74"/>
      <c r="AS55" s="74"/>
      <c r="AT55" s="610">
        <f t="shared" si="7"/>
        <v>9120</v>
      </c>
    </row>
    <row r="56" spans="1:46" ht="45" customHeight="1" x14ac:dyDescent="0.25">
      <c r="A56" s="1083"/>
      <c r="B56" s="1036"/>
      <c r="C56" s="1083">
        <v>2.5</v>
      </c>
      <c r="D56" s="1128" t="s">
        <v>672</v>
      </c>
      <c r="E56" s="407" t="s">
        <v>84</v>
      </c>
      <c r="F56" s="771" t="s">
        <v>673</v>
      </c>
      <c r="G56" s="768" t="s">
        <v>431</v>
      </c>
      <c r="H56" s="134"/>
      <c r="I56" s="521"/>
      <c r="J56" s="522"/>
      <c r="K56" s="522"/>
      <c r="L56" s="609">
        <f t="shared" si="4"/>
        <v>0</v>
      </c>
      <c r="M56" s="530"/>
      <c r="N56" s="530"/>
      <c r="O56" s="530"/>
      <c r="P56" s="530"/>
      <c r="Q56" s="530"/>
      <c r="R56" s="530"/>
      <c r="S56" s="530"/>
      <c r="T56" s="530"/>
      <c r="U56" s="520">
        <f t="shared" si="0"/>
        <v>0</v>
      </c>
      <c r="V56" s="523">
        <v>40</v>
      </c>
      <c r="W56" s="523">
        <v>350</v>
      </c>
      <c r="X56" s="520">
        <f t="shared" si="1"/>
        <v>14000</v>
      </c>
      <c r="Y56" s="523">
        <v>60</v>
      </c>
      <c r="Z56" s="523">
        <v>1200</v>
      </c>
      <c r="AA56" s="520">
        <f t="shared" si="2"/>
        <v>72000</v>
      </c>
      <c r="AB56" s="524"/>
      <c r="AC56" s="524"/>
      <c r="AD56" s="520">
        <f t="shared" si="5"/>
        <v>0</v>
      </c>
      <c r="AE56" s="520"/>
      <c r="AF56" s="520"/>
      <c r="AG56" s="617"/>
      <c r="AH56" s="617"/>
      <c r="AI56" s="520">
        <f t="shared" si="3"/>
        <v>0</v>
      </c>
      <c r="AJ56" s="617"/>
      <c r="AK56" s="617"/>
      <c r="AL56" s="520"/>
      <c r="AM56" s="520">
        <v>2000</v>
      </c>
      <c r="AN56" s="520">
        <f t="shared" si="6"/>
        <v>88000</v>
      </c>
      <c r="AO56" s="74"/>
      <c r="AP56" s="74"/>
      <c r="AQ56" s="74"/>
      <c r="AR56" s="74"/>
      <c r="AS56" s="74"/>
      <c r="AT56" s="610">
        <f t="shared" si="7"/>
        <v>88000</v>
      </c>
    </row>
    <row r="57" spans="1:46" ht="39" customHeight="1" thickBot="1" x14ac:dyDescent="0.3">
      <c r="A57" s="1083"/>
      <c r="B57" s="1036"/>
      <c r="C57" s="1083"/>
      <c r="D57" s="1128"/>
      <c r="E57" s="407" t="s">
        <v>85</v>
      </c>
      <c r="F57" s="527" t="s">
        <v>674</v>
      </c>
      <c r="G57" s="772" t="s">
        <v>435</v>
      </c>
      <c r="H57" s="134"/>
      <c r="I57" s="521"/>
      <c r="J57" s="522"/>
      <c r="K57" s="522"/>
      <c r="L57" s="609">
        <f t="shared" si="4"/>
        <v>0</v>
      </c>
      <c r="M57" s="530"/>
      <c r="N57" s="530"/>
      <c r="O57" s="530"/>
      <c r="P57" s="530"/>
      <c r="Q57" s="530"/>
      <c r="R57" s="530"/>
      <c r="S57" s="530"/>
      <c r="T57" s="530"/>
      <c r="U57" s="520">
        <f t="shared" si="0"/>
        <v>0</v>
      </c>
      <c r="V57" s="523"/>
      <c r="W57" s="523"/>
      <c r="X57" s="520">
        <f t="shared" si="1"/>
        <v>0</v>
      </c>
      <c r="Y57" s="523"/>
      <c r="Z57" s="523"/>
      <c r="AA57" s="520">
        <f t="shared" si="2"/>
        <v>0</v>
      </c>
      <c r="AB57" s="524"/>
      <c r="AC57" s="524"/>
      <c r="AD57" s="520">
        <f t="shared" si="5"/>
        <v>0</v>
      </c>
      <c r="AE57" s="520"/>
      <c r="AF57" s="520"/>
      <c r="AG57" s="617"/>
      <c r="AH57" s="617"/>
      <c r="AI57" s="520">
        <f t="shared" si="3"/>
        <v>0</v>
      </c>
      <c r="AJ57" s="617"/>
      <c r="AK57" s="617"/>
      <c r="AL57" s="520"/>
      <c r="AM57" s="520"/>
      <c r="AN57" s="520">
        <f t="shared" si="6"/>
        <v>0</v>
      </c>
      <c r="AO57" s="74"/>
      <c r="AP57" s="74"/>
      <c r="AQ57" s="74"/>
      <c r="AR57" s="74"/>
      <c r="AS57" s="74"/>
      <c r="AT57" s="610">
        <f t="shared" si="7"/>
        <v>0</v>
      </c>
    </row>
    <row r="58" spans="1:46" ht="51.75" customHeight="1" thickBot="1" x14ac:dyDescent="0.3">
      <c r="A58" s="1083"/>
      <c r="B58" s="1036"/>
      <c r="C58" s="1083"/>
      <c r="D58" s="1128"/>
      <c r="E58" s="407" t="s">
        <v>86</v>
      </c>
      <c r="F58" s="527" t="s">
        <v>474</v>
      </c>
      <c r="G58" s="768" t="s">
        <v>431</v>
      </c>
      <c r="H58" s="134"/>
      <c r="I58" s="521"/>
      <c r="J58" s="522"/>
      <c r="K58" s="522"/>
      <c r="L58" s="609">
        <f t="shared" si="4"/>
        <v>0</v>
      </c>
      <c r="M58" s="530"/>
      <c r="N58" s="530"/>
      <c r="O58" s="530"/>
      <c r="P58" s="530"/>
      <c r="Q58" s="530"/>
      <c r="R58" s="530"/>
      <c r="S58" s="530"/>
      <c r="T58" s="530"/>
      <c r="U58" s="520">
        <f t="shared" si="0"/>
        <v>0</v>
      </c>
      <c r="V58" s="523">
        <v>100</v>
      </c>
      <c r="W58" s="523">
        <v>350</v>
      </c>
      <c r="X58" s="520">
        <f t="shared" si="1"/>
        <v>35000</v>
      </c>
      <c r="Y58" s="523">
        <v>120</v>
      </c>
      <c r="Z58" s="523">
        <v>1200</v>
      </c>
      <c r="AA58" s="520">
        <f t="shared" si="2"/>
        <v>144000</v>
      </c>
      <c r="AB58" s="524"/>
      <c r="AC58" s="524"/>
      <c r="AD58" s="520">
        <f t="shared" si="5"/>
        <v>0</v>
      </c>
      <c r="AE58" s="520"/>
      <c r="AF58" s="520"/>
      <c r="AG58" s="617"/>
      <c r="AH58" s="617"/>
      <c r="AI58" s="520">
        <f t="shared" si="3"/>
        <v>0</v>
      </c>
      <c r="AJ58" s="617"/>
      <c r="AK58" s="617"/>
      <c r="AL58" s="520"/>
      <c r="AM58" s="520">
        <v>5000</v>
      </c>
      <c r="AN58" s="520">
        <f t="shared" si="6"/>
        <v>184000</v>
      </c>
      <c r="AO58" s="74"/>
      <c r="AP58" s="74"/>
      <c r="AQ58" s="74"/>
      <c r="AR58" s="74"/>
      <c r="AS58" s="74"/>
      <c r="AT58" s="610">
        <f t="shared" si="7"/>
        <v>184000</v>
      </c>
    </row>
    <row r="59" spans="1:46" ht="24.75" customHeight="1" thickBot="1" x14ac:dyDescent="0.3">
      <c r="A59" s="1083"/>
      <c r="B59" s="1036"/>
      <c r="C59" s="1083">
        <v>2.6</v>
      </c>
      <c r="D59" s="1128" t="s">
        <v>678</v>
      </c>
      <c r="E59" s="407" t="s">
        <v>87</v>
      </c>
      <c r="F59" s="105" t="s">
        <v>675</v>
      </c>
      <c r="G59" s="768" t="s">
        <v>436</v>
      </c>
      <c r="H59" s="134"/>
      <c r="I59" s="521"/>
      <c r="J59" s="522"/>
      <c r="K59" s="522"/>
      <c r="L59" s="609">
        <f t="shared" si="4"/>
        <v>0</v>
      </c>
      <c r="M59" s="530">
        <v>1</v>
      </c>
      <c r="N59" s="530">
        <v>3</v>
      </c>
      <c r="O59" s="530">
        <v>15</v>
      </c>
      <c r="P59" s="530">
        <v>300</v>
      </c>
      <c r="Q59" s="530">
        <v>25</v>
      </c>
      <c r="R59" s="530"/>
      <c r="S59" s="530">
        <v>20</v>
      </c>
      <c r="T59" s="530"/>
      <c r="U59" s="520">
        <f t="shared" si="0"/>
        <v>2325</v>
      </c>
      <c r="V59" s="523">
        <v>5</v>
      </c>
      <c r="W59" s="523">
        <v>350</v>
      </c>
      <c r="X59" s="520">
        <f t="shared" si="1"/>
        <v>1750</v>
      </c>
      <c r="Y59" s="523">
        <v>5</v>
      </c>
      <c r="Z59" s="523">
        <v>350</v>
      </c>
      <c r="AA59" s="520">
        <f t="shared" si="2"/>
        <v>1750</v>
      </c>
      <c r="AB59" s="524"/>
      <c r="AC59" s="524"/>
      <c r="AD59" s="520">
        <f t="shared" si="5"/>
        <v>0</v>
      </c>
      <c r="AE59" s="520"/>
      <c r="AF59" s="520"/>
      <c r="AG59" s="617"/>
      <c r="AH59" s="617"/>
      <c r="AI59" s="520">
        <f t="shared" si="3"/>
        <v>0</v>
      </c>
      <c r="AJ59" s="617"/>
      <c r="AK59" s="617"/>
      <c r="AL59" s="520">
        <f>AJ59*AK59</f>
        <v>0</v>
      </c>
      <c r="AM59" s="520">
        <v>25000</v>
      </c>
      <c r="AN59" s="520">
        <f t="shared" si="6"/>
        <v>30825</v>
      </c>
      <c r="AO59" s="74"/>
      <c r="AP59" s="74"/>
      <c r="AQ59" s="74"/>
      <c r="AR59" s="74"/>
      <c r="AS59" s="74"/>
      <c r="AT59" s="610">
        <f t="shared" si="7"/>
        <v>30825</v>
      </c>
    </row>
    <row r="60" spans="1:46" ht="24.75" customHeight="1" thickBot="1" x14ac:dyDescent="0.3">
      <c r="A60" s="1083"/>
      <c r="B60" s="1036"/>
      <c r="C60" s="1083"/>
      <c r="D60" s="1128"/>
      <c r="E60" s="407" t="s">
        <v>88</v>
      </c>
      <c r="F60" s="105" t="s">
        <v>476</v>
      </c>
      <c r="G60" s="768" t="s">
        <v>436</v>
      </c>
      <c r="H60" s="134"/>
      <c r="I60" s="521"/>
      <c r="J60" s="522"/>
      <c r="K60" s="522"/>
      <c r="L60" s="609">
        <f t="shared" si="4"/>
        <v>0</v>
      </c>
      <c r="M60" s="530">
        <v>2</v>
      </c>
      <c r="N60" s="530">
        <v>3</v>
      </c>
      <c r="O60" s="530">
        <v>20</v>
      </c>
      <c r="P60" s="530"/>
      <c r="Q60" s="530">
        <v>25</v>
      </c>
      <c r="R60" s="530"/>
      <c r="S60" s="530">
        <v>20</v>
      </c>
      <c r="T60" s="530">
        <v>65</v>
      </c>
      <c r="U60" s="520">
        <f t="shared" si="0"/>
        <v>4190</v>
      </c>
      <c r="V60" s="523"/>
      <c r="W60" s="523"/>
      <c r="X60" s="520">
        <f t="shared" si="1"/>
        <v>0</v>
      </c>
      <c r="Y60" s="523"/>
      <c r="Z60" s="523"/>
      <c r="AA60" s="520">
        <f t="shared" si="2"/>
        <v>0</v>
      </c>
      <c r="AB60" s="524"/>
      <c r="AC60" s="524"/>
      <c r="AD60" s="520">
        <f t="shared" si="5"/>
        <v>0</v>
      </c>
      <c r="AE60" s="520"/>
      <c r="AF60" s="520"/>
      <c r="AG60" s="617"/>
      <c r="AH60" s="617"/>
      <c r="AI60" s="520">
        <f t="shared" si="3"/>
        <v>0</v>
      </c>
      <c r="AJ60" s="617"/>
      <c r="AK60" s="617"/>
      <c r="AL60" s="520"/>
      <c r="AM60" s="520">
        <v>1000</v>
      </c>
      <c r="AN60" s="520">
        <f t="shared" si="6"/>
        <v>5190</v>
      </c>
      <c r="AO60" s="74"/>
      <c r="AP60" s="74"/>
      <c r="AQ60" s="74"/>
      <c r="AR60" s="74"/>
      <c r="AS60" s="74"/>
      <c r="AT60" s="610">
        <f t="shared" si="7"/>
        <v>5190</v>
      </c>
    </row>
    <row r="61" spans="1:46" ht="27" customHeight="1" x14ac:dyDescent="0.25">
      <c r="A61" s="1083"/>
      <c r="B61" s="1036"/>
      <c r="C61" s="1083"/>
      <c r="D61" s="1128"/>
      <c r="E61" s="407" t="s">
        <v>89</v>
      </c>
      <c r="F61" s="105" t="s">
        <v>477</v>
      </c>
      <c r="G61" s="768" t="s">
        <v>436</v>
      </c>
      <c r="H61" s="134"/>
      <c r="I61" s="521"/>
      <c r="J61" s="612"/>
      <c r="K61" s="612"/>
      <c r="L61" s="609">
        <f t="shared" si="4"/>
        <v>0</v>
      </c>
      <c r="M61" s="530">
        <v>1</v>
      </c>
      <c r="N61" s="530">
        <v>3</v>
      </c>
      <c r="O61" s="613">
        <v>20</v>
      </c>
      <c r="P61" s="530"/>
      <c r="Q61" s="530">
        <v>25</v>
      </c>
      <c r="R61" s="613"/>
      <c r="S61" s="530">
        <v>20</v>
      </c>
      <c r="T61" s="530">
        <v>65</v>
      </c>
      <c r="U61" s="520">
        <f t="shared" si="0"/>
        <v>2095</v>
      </c>
      <c r="V61" s="613"/>
      <c r="W61" s="613"/>
      <c r="X61" s="520">
        <f t="shared" si="1"/>
        <v>0</v>
      </c>
      <c r="Y61" s="613"/>
      <c r="Z61" s="613"/>
      <c r="AA61" s="520">
        <f t="shared" si="2"/>
        <v>0</v>
      </c>
      <c r="AB61" s="614"/>
      <c r="AC61" s="614"/>
      <c r="AD61" s="520">
        <f t="shared" si="5"/>
        <v>0</v>
      </c>
      <c r="AE61" s="615"/>
      <c r="AF61" s="615"/>
      <c r="AG61" s="545"/>
      <c r="AH61" s="545"/>
      <c r="AI61" s="520">
        <f t="shared" si="3"/>
        <v>0</v>
      </c>
      <c r="AJ61" s="617"/>
      <c r="AK61" s="617"/>
      <c r="AL61" s="520">
        <f>AJ61*AK61</f>
        <v>0</v>
      </c>
      <c r="AM61" s="616">
        <v>1000</v>
      </c>
      <c r="AN61" s="520">
        <f t="shared" si="6"/>
        <v>3095</v>
      </c>
      <c r="AO61" s="74"/>
      <c r="AP61" s="74"/>
      <c r="AQ61" s="74"/>
      <c r="AR61" s="74"/>
      <c r="AS61" s="74"/>
      <c r="AT61" s="610">
        <f t="shared" si="7"/>
        <v>3095</v>
      </c>
    </row>
    <row r="62" spans="1:46" ht="46.5" customHeight="1" x14ac:dyDescent="0.25">
      <c r="A62" s="1083"/>
      <c r="B62" s="1036"/>
      <c r="C62" s="1083">
        <v>2.7</v>
      </c>
      <c r="D62" s="1128" t="s">
        <v>679</v>
      </c>
      <c r="E62" s="407" t="s">
        <v>90</v>
      </c>
      <c r="F62" s="134" t="s">
        <v>676</v>
      </c>
      <c r="G62" s="788" t="s">
        <v>435</v>
      </c>
      <c r="H62" s="134"/>
      <c r="I62" s="521"/>
      <c r="J62" s="522"/>
      <c r="K62" s="522"/>
      <c r="L62" s="609">
        <f t="shared" si="4"/>
        <v>0</v>
      </c>
      <c r="M62" s="530"/>
      <c r="N62" s="530"/>
      <c r="O62" s="530"/>
      <c r="P62" s="530"/>
      <c r="Q62" s="530"/>
      <c r="R62" s="530"/>
      <c r="S62" s="530"/>
      <c r="T62" s="530"/>
      <c r="U62" s="520">
        <f t="shared" si="0"/>
        <v>0</v>
      </c>
      <c r="V62" s="523"/>
      <c r="W62" s="523"/>
      <c r="X62" s="520">
        <f t="shared" si="1"/>
        <v>0</v>
      </c>
      <c r="Y62" s="523"/>
      <c r="Z62" s="523"/>
      <c r="AA62" s="520">
        <f t="shared" si="2"/>
        <v>0</v>
      </c>
      <c r="AB62" s="524"/>
      <c r="AC62" s="524"/>
      <c r="AD62" s="520">
        <f t="shared" si="5"/>
        <v>0</v>
      </c>
      <c r="AE62" s="520"/>
      <c r="AF62" s="520"/>
      <c r="AG62" s="617"/>
      <c r="AH62" s="617"/>
      <c r="AI62" s="520">
        <f t="shared" si="3"/>
        <v>0</v>
      </c>
      <c r="AJ62" s="617"/>
      <c r="AK62" s="617"/>
      <c r="AL62" s="520">
        <f>AJ62*AK62</f>
        <v>0</v>
      </c>
      <c r="AM62" s="520">
        <v>25000</v>
      </c>
      <c r="AN62" s="520">
        <f t="shared" si="6"/>
        <v>25000</v>
      </c>
      <c r="AO62" s="74"/>
      <c r="AP62" s="74"/>
      <c r="AQ62" s="74"/>
      <c r="AR62" s="74"/>
      <c r="AS62" s="74"/>
      <c r="AT62" s="610">
        <f t="shared" si="7"/>
        <v>25000</v>
      </c>
    </row>
    <row r="63" spans="1:46" ht="79.5" customHeight="1" x14ac:dyDescent="0.25">
      <c r="A63" s="1083"/>
      <c r="B63" s="1036"/>
      <c r="C63" s="1083"/>
      <c r="D63" s="1128"/>
      <c r="E63" s="407" t="s">
        <v>91</v>
      </c>
      <c r="F63" s="134" t="s">
        <v>677</v>
      </c>
      <c r="G63" s="134" t="s">
        <v>475</v>
      </c>
      <c r="H63" s="134"/>
      <c r="I63" s="521"/>
      <c r="J63" s="612"/>
      <c r="K63" s="612"/>
      <c r="L63" s="609">
        <f t="shared" si="4"/>
        <v>0</v>
      </c>
      <c r="M63" s="530"/>
      <c r="N63" s="530"/>
      <c r="O63" s="613"/>
      <c r="P63" s="613"/>
      <c r="Q63" s="613"/>
      <c r="R63" s="613"/>
      <c r="S63" s="613"/>
      <c r="T63" s="613"/>
      <c r="U63" s="520">
        <f t="shared" si="0"/>
        <v>0</v>
      </c>
      <c r="V63" s="613">
        <f>19*2*20</f>
        <v>760</v>
      </c>
      <c r="W63" s="613">
        <v>250</v>
      </c>
      <c r="X63" s="520">
        <f t="shared" si="1"/>
        <v>190000</v>
      </c>
      <c r="Y63" s="613"/>
      <c r="Z63" s="613"/>
      <c r="AA63" s="520">
        <f t="shared" si="2"/>
        <v>0</v>
      </c>
      <c r="AB63" s="614"/>
      <c r="AC63" s="614"/>
      <c r="AD63" s="520">
        <f t="shared" si="5"/>
        <v>0</v>
      </c>
      <c r="AE63" s="615"/>
      <c r="AF63" s="615"/>
      <c r="AG63" s="545"/>
      <c r="AH63" s="545"/>
      <c r="AI63" s="520">
        <f t="shared" si="3"/>
        <v>0</v>
      </c>
      <c r="AJ63" s="617"/>
      <c r="AK63" s="617"/>
      <c r="AL63" s="520">
        <f>AJ63*AK63</f>
        <v>0</v>
      </c>
      <c r="AM63" s="616"/>
      <c r="AN63" s="520">
        <f t="shared" si="6"/>
        <v>190000</v>
      </c>
      <c r="AO63" s="74"/>
      <c r="AP63" s="74"/>
      <c r="AQ63" s="74"/>
      <c r="AR63" s="74"/>
      <c r="AS63" s="74"/>
      <c r="AT63" s="610">
        <f t="shared" si="7"/>
        <v>190000</v>
      </c>
    </row>
    <row r="64" spans="1:46" s="24" customFormat="1" ht="27.75" customHeight="1" x14ac:dyDescent="0.25">
      <c r="A64" s="563"/>
      <c r="B64" s="622"/>
      <c r="C64" s="1130" t="s">
        <v>478</v>
      </c>
      <c r="D64" s="1130"/>
      <c r="E64" s="1130"/>
      <c r="F64" s="1130"/>
      <c r="G64" s="623"/>
      <c r="H64" s="623"/>
      <c r="I64" s="624">
        <f>SUM(I43:I63)</f>
        <v>0</v>
      </c>
      <c r="J64" s="624">
        <f>SUM(J43:J63)</f>
        <v>0</v>
      </c>
      <c r="K64" s="624">
        <f>SUM(K43:K63)</f>
        <v>0</v>
      </c>
      <c r="L64" s="624">
        <f>SUM(L43:L63)</f>
        <v>0</v>
      </c>
      <c r="M64" s="624"/>
      <c r="N64" s="624"/>
      <c r="O64" s="624"/>
      <c r="P64" s="624"/>
      <c r="Q64" s="624"/>
      <c r="R64" s="624"/>
      <c r="S64" s="624"/>
      <c r="T64" s="624"/>
      <c r="U64" s="624">
        <f>SUM(U43:U63)</f>
        <v>8610</v>
      </c>
      <c r="V64" s="624"/>
      <c r="W64" s="624"/>
      <c r="X64" s="624">
        <f>SUM(X43:X63)</f>
        <v>274700</v>
      </c>
      <c r="Y64" s="624"/>
      <c r="Z64" s="624"/>
      <c r="AA64" s="624">
        <f t="shared" ref="AA64:AT64" si="10">SUM(AA43:AA63)</f>
        <v>343750</v>
      </c>
      <c r="AB64" s="624">
        <f t="shared" si="10"/>
        <v>0</v>
      </c>
      <c r="AC64" s="624">
        <f t="shared" si="10"/>
        <v>0</v>
      </c>
      <c r="AD64" s="624">
        <f t="shared" si="10"/>
        <v>0</v>
      </c>
      <c r="AE64" s="624">
        <f t="shared" si="10"/>
        <v>0</v>
      </c>
      <c r="AF64" s="624">
        <f t="shared" si="10"/>
        <v>0</v>
      </c>
      <c r="AG64" s="193">
        <f t="shared" si="10"/>
        <v>0</v>
      </c>
      <c r="AH64" s="193">
        <f t="shared" si="10"/>
        <v>0</v>
      </c>
      <c r="AI64" s="624">
        <f t="shared" si="10"/>
        <v>0</v>
      </c>
      <c r="AJ64" s="193">
        <f t="shared" si="10"/>
        <v>0</v>
      </c>
      <c r="AK64" s="193">
        <f t="shared" si="10"/>
        <v>0</v>
      </c>
      <c r="AL64" s="624">
        <f t="shared" si="10"/>
        <v>0</v>
      </c>
      <c r="AM64" s="624">
        <f t="shared" si="10"/>
        <v>90120</v>
      </c>
      <c r="AN64" s="624">
        <f t="shared" si="10"/>
        <v>717180</v>
      </c>
      <c r="AO64" s="624">
        <f t="shared" si="10"/>
        <v>7500</v>
      </c>
      <c r="AP64" s="624">
        <f t="shared" si="10"/>
        <v>0</v>
      </c>
      <c r="AQ64" s="624">
        <f t="shared" si="10"/>
        <v>0</v>
      </c>
      <c r="AR64" s="624">
        <f t="shared" si="10"/>
        <v>0</v>
      </c>
      <c r="AS64" s="624">
        <f t="shared" si="10"/>
        <v>0</v>
      </c>
      <c r="AT64" s="624">
        <f t="shared" si="10"/>
        <v>709680</v>
      </c>
    </row>
    <row r="65" spans="1:46" ht="36.75" customHeight="1" x14ac:dyDescent="0.25">
      <c r="A65" s="1090" t="s">
        <v>680</v>
      </c>
      <c r="B65" s="1091"/>
      <c r="C65" s="1091"/>
      <c r="D65" s="1091"/>
      <c r="E65" s="1091"/>
      <c r="F65" s="1091"/>
      <c r="G65" s="1091"/>
      <c r="H65" s="1091"/>
      <c r="I65" s="1091"/>
      <c r="J65" s="1091"/>
      <c r="K65" s="1091"/>
      <c r="L65" s="1091"/>
      <c r="M65" s="1091"/>
      <c r="N65" s="1091"/>
      <c r="O65" s="1091"/>
      <c r="P65" s="1091"/>
      <c r="Q65" s="1091"/>
      <c r="R65" s="1091"/>
      <c r="S65" s="1091"/>
      <c r="T65" s="1091"/>
      <c r="U65" s="1091"/>
      <c r="V65" s="1091"/>
      <c r="W65" s="1091"/>
      <c r="X65" s="1091"/>
      <c r="Y65" s="1091"/>
      <c r="Z65" s="1091"/>
      <c r="AA65" s="1091"/>
      <c r="AB65" s="1091"/>
      <c r="AC65" s="1091"/>
      <c r="AD65" s="1091"/>
      <c r="AE65" s="1091"/>
      <c r="AF65" s="1091"/>
      <c r="AG65" s="1091"/>
      <c r="AH65" s="1091"/>
      <c r="AI65" s="1091"/>
      <c r="AJ65" s="1091"/>
      <c r="AK65" s="1091"/>
      <c r="AL65" s="1091"/>
      <c r="AM65" s="1091"/>
      <c r="AN65" s="1091"/>
      <c r="AO65" s="1091"/>
      <c r="AP65" s="1091"/>
      <c r="AQ65" s="1091"/>
      <c r="AR65" s="1091"/>
      <c r="AS65" s="1091"/>
      <c r="AT65" s="1092"/>
    </row>
    <row r="66" spans="1:46" ht="60" customHeight="1" x14ac:dyDescent="0.25">
      <c r="A66" s="1083">
        <v>5</v>
      </c>
      <c r="B66" s="1129"/>
      <c r="C66" s="1083">
        <v>3.1</v>
      </c>
      <c r="D66" s="1128" t="s">
        <v>479</v>
      </c>
      <c r="E66" s="407" t="s">
        <v>19</v>
      </c>
      <c r="F66" s="134" t="s">
        <v>480</v>
      </c>
      <c r="G66" s="134"/>
      <c r="H66" s="1083" t="s">
        <v>92</v>
      </c>
      <c r="I66" s="521"/>
      <c r="J66" s="522"/>
      <c r="K66" s="522"/>
      <c r="L66" s="609">
        <f t="shared" ref="L66:L86" si="11">I66*J66*K66</f>
        <v>0</v>
      </c>
      <c r="M66" s="530"/>
      <c r="N66" s="530"/>
      <c r="O66" s="530"/>
      <c r="P66" s="530"/>
      <c r="Q66" s="530"/>
      <c r="R66" s="530"/>
      <c r="S66" s="530"/>
      <c r="T66" s="530"/>
      <c r="U66" s="520">
        <f t="shared" si="0"/>
        <v>0</v>
      </c>
      <c r="V66" s="523">
        <v>30</v>
      </c>
      <c r="W66" s="523">
        <v>350</v>
      </c>
      <c r="X66" s="520">
        <f t="shared" si="1"/>
        <v>10500</v>
      </c>
      <c r="Y66" s="523">
        <f>5+10+20+5</f>
        <v>40</v>
      </c>
      <c r="Z66" s="523">
        <v>1250</v>
      </c>
      <c r="AA66" s="520">
        <f t="shared" si="2"/>
        <v>50000</v>
      </c>
      <c r="AB66" s="524"/>
      <c r="AC66" s="524"/>
      <c r="AD66" s="520">
        <f t="shared" si="5"/>
        <v>0</v>
      </c>
      <c r="AE66" s="520"/>
      <c r="AF66" s="520"/>
      <c r="AG66" s="617"/>
      <c r="AH66" s="617"/>
      <c r="AI66" s="520">
        <f t="shared" si="3"/>
        <v>0</v>
      </c>
      <c r="AJ66" s="617"/>
      <c r="AK66" s="617"/>
      <c r="AL66" s="520">
        <f>AJ66*AK66</f>
        <v>0</v>
      </c>
      <c r="AM66" s="520">
        <v>2000</v>
      </c>
      <c r="AN66" s="520">
        <f t="shared" si="6"/>
        <v>62500</v>
      </c>
      <c r="AO66" s="74"/>
      <c r="AP66" s="74"/>
      <c r="AQ66" s="74"/>
      <c r="AR66" s="74"/>
      <c r="AS66" s="74"/>
      <c r="AT66" s="610">
        <f t="shared" si="7"/>
        <v>62500</v>
      </c>
    </row>
    <row r="67" spans="1:46" ht="73.5" customHeight="1" x14ac:dyDescent="0.25">
      <c r="A67" s="1083"/>
      <c r="B67" s="1129"/>
      <c r="C67" s="1083"/>
      <c r="D67" s="1128"/>
      <c r="E67" s="407" t="s">
        <v>20</v>
      </c>
      <c r="F67" s="134" t="s">
        <v>681</v>
      </c>
      <c r="G67" s="134"/>
      <c r="H67" s="1083"/>
      <c r="I67" s="521"/>
      <c r="J67" s="522"/>
      <c r="K67" s="522"/>
      <c r="L67" s="609">
        <f t="shared" si="11"/>
        <v>0</v>
      </c>
      <c r="M67" s="530"/>
      <c r="N67" s="530"/>
      <c r="O67" s="530"/>
      <c r="P67" s="530"/>
      <c r="Q67" s="530"/>
      <c r="R67" s="530"/>
      <c r="S67" s="530"/>
      <c r="T67" s="530"/>
      <c r="U67" s="520">
        <f t="shared" si="0"/>
        <v>0</v>
      </c>
      <c r="V67" s="523">
        <v>20</v>
      </c>
      <c r="W67" s="523">
        <v>350</v>
      </c>
      <c r="X67" s="520">
        <f t="shared" si="1"/>
        <v>7000</v>
      </c>
      <c r="Y67" s="523">
        <v>40</v>
      </c>
      <c r="Z67" s="523">
        <v>1250</v>
      </c>
      <c r="AA67" s="520">
        <f t="shared" si="2"/>
        <v>50000</v>
      </c>
      <c r="AB67" s="524"/>
      <c r="AC67" s="524"/>
      <c r="AD67" s="520">
        <f t="shared" si="5"/>
        <v>0</v>
      </c>
      <c r="AE67" s="520"/>
      <c r="AF67" s="520"/>
      <c r="AG67" s="617"/>
      <c r="AH67" s="617"/>
      <c r="AI67" s="520">
        <f t="shared" si="3"/>
        <v>0</v>
      </c>
      <c r="AJ67" s="617"/>
      <c r="AK67" s="617"/>
      <c r="AL67" s="520">
        <f>AJ67*AK67</f>
        <v>0</v>
      </c>
      <c r="AM67" s="520">
        <v>2000</v>
      </c>
      <c r="AN67" s="520">
        <f t="shared" si="6"/>
        <v>59000</v>
      </c>
      <c r="AO67" s="74"/>
      <c r="AP67" s="74"/>
      <c r="AQ67" s="74"/>
      <c r="AR67" s="74"/>
      <c r="AS67" s="74"/>
      <c r="AT67" s="610">
        <f t="shared" si="7"/>
        <v>59000</v>
      </c>
    </row>
    <row r="68" spans="1:46" ht="91.5" customHeight="1" x14ac:dyDescent="0.25">
      <c r="A68" s="1083"/>
      <c r="B68" s="1129"/>
      <c r="C68" s="1083"/>
      <c r="D68" s="1128"/>
      <c r="E68" s="407" t="s">
        <v>21</v>
      </c>
      <c r="F68" s="531" t="s">
        <v>682</v>
      </c>
      <c r="G68" s="134" t="s">
        <v>498</v>
      </c>
      <c r="H68" s="407"/>
      <c r="I68" s="521"/>
      <c r="J68" s="522"/>
      <c r="K68" s="522"/>
      <c r="L68" s="609">
        <f t="shared" si="11"/>
        <v>0</v>
      </c>
      <c r="M68" s="530"/>
      <c r="N68" s="530"/>
      <c r="O68" s="530"/>
      <c r="P68" s="530"/>
      <c r="Q68" s="530"/>
      <c r="R68" s="530"/>
      <c r="S68" s="530"/>
      <c r="T68" s="530"/>
      <c r="U68" s="520">
        <f t="shared" si="0"/>
        <v>0</v>
      </c>
      <c r="V68" s="523">
        <v>40</v>
      </c>
      <c r="W68" s="523">
        <v>350</v>
      </c>
      <c r="X68" s="520">
        <f t="shared" si="1"/>
        <v>14000</v>
      </c>
      <c r="Y68" s="523">
        <v>60</v>
      </c>
      <c r="Z68" s="523">
        <v>1250</v>
      </c>
      <c r="AA68" s="520">
        <f t="shared" si="2"/>
        <v>75000</v>
      </c>
      <c r="AB68" s="524"/>
      <c r="AC68" s="524"/>
      <c r="AD68" s="520">
        <f t="shared" si="5"/>
        <v>0</v>
      </c>
      <c r="AE68" s="520"/>
      <c r="AF68" s="520"/>
      <c r="AG68" s="617"/>
      <c r="AH68" s="617"/>
      <c r="AI68" s="520">
        <f t="shared" si="3"/>
        <v>0</v>
      </c>
      <c r="AJ68" s="617"/>
      <c r="AK68" s="617"/>
      <c r="AL68" s="520"/>
      <c r="AM68" s="520">
        <v>2000</v>
      </c>
      <c r="AN68" s="520">
        <f t="shared" si="6"/>
        <v>91000</v>
      </c>
      <c r="AO68" s="74"/>
      <c r="AP68" s="74"/>
      <c r="AQ68" s="74"/>
      <c r="AR68" s="74"/>
      <c r="AS68" s="74"/>
      <c r="AT68" s="610">
        <f t="shared" si="7"/>
        <v>91000</v>
      </c>
    </row>
    <row r="69" spans="1:46" ht="24" customHeight="1" x14ac:dyDescent="0.25">
      <c r="A69" s="1083"/>
      <c r="B69" s="1129"/>
      <c r="C69" s="1083"/>
      <c r="D69" s="1128"/>
      <c r="E69" s="407" t="s">
        <v>93</v>
      </c>
      <c r="F69" s="531" t="s">
        <v>481</v>
      </c>
      <c r="G69" s="134" t="s">
        <v>484</v>
      </c>
      <c r="H69" s="407"/>
      <c r="I69" s="521"/>
      <c r="J69" s="522"/>
      <c r="K69" s="522"/>
      <c r="L69" s="609">
        <f t="shared" si="11"/>
        <v>0</v>
      </c>
      <c r="M69" s="530"/>
      <c r="N69" s="530"/>
      <c r="O69" s="530"/>
      <c r="P69" s="530"/>
      <c r="Q69" s="530"/>
      <c r="R69" s="530"/>
      <c r="S69" s="530"/>
      <c r="T69" s="530"/>
      <c r="U69" s="520">
        <f t="shared" si="0"/>
        <v>0</v>
      </c>
      <c r="V69" s="523">
        <v>10</v>
      </c>
      <c r="W69" s="523">
        <v>350</v>
      </c>
      <c r="X69" s="520">
        <f t="shared" si="1"/>
        <v>3500</v>
      </c>
      <c r="Y69" s="523">
        <v>30</v>
      </c>
      <c r="Z69" s="523">
        <v>1250</v>
      </c>
      <c r="AA69" s="520">
        <f t="shared" si="2"/>
        <v>37500</v>
      </c>
      <c r="AB69" s="524"/>
      <c r="AC69" s="524"/>
      <c r="AD69" s="520">
        <f t="shared" si="5"/>
        <v>0</v>
      </c>
      <c r="AE69" s="520"/>
      <c r="AF69" s="520"/>
      <c r="AG69" s="617"/>
      <c r="AH69" s="617"/>
      <c r="AI69" s="520">
        <f t="shared" si="3"/>
        <v>0</v>
      </c>
      <c r="AJ69" s="617"/>
      <c r="AK69" s="617"/>
      <c r="AL69" s="520"/>
      <c r="AM69" s="520">
        <v>1000</v>
      </c>
      <c r="AN69" s="520">
        <f t="shared" si="6"/>
        <v>42000</v>
      </c>
      <c r="AO69" s="74"/>
      <c r="AP69" s="74"/>
      <c r="AQ69" s="74"/>
      <c r="AR69" s="74"/>
      <c r="AS69" s="74"/>
      <c r="AT69" s="610">
        <f t="shared" si="7"/>
        <v>42000</v>
      </c>
    </row>
    <row r="70" spans="1:46" ht="117" customHeight="1" x14ac:dyDescent="0.25">
      <c r="A70" s="1083"/>
      <c r="B70" s="1129"/>
      <c r="C70" s="1083"/>
      <c r="D70" s="1128"/>
      <c r="E70" s="407" t="s">
        <v>94</v>
      </c>
      <c r="F70" s="531" t="s">
        <v>482</v>
      </c>
      <c r="G70" s="134" t="s">
        <v>499</v>
      </c>
      <c r="H70" s="407"/>
      <c r="I70" s="521"/>
      <c r="J70" s="522"/>
      <c r="K70" s="522"/>
      <c r="L70" s="609">
        <f t="shared" si="11"/>
        <v>0</v>
      </c>
      <c r="M70" s="530"/>
      <c r="N70" s="530"/>
      <c r="O70" s="530"/>
      <c r="P70" s="530"/>
      <c r="Q70" s="530"/>
      <c r="R70" s="530"/>
      <c r="S70" s="530"/>
      <c r="T70" s="530"/>
      <c r="U70" s="520">
        <f t="shared" si="0"/>
        <v>0</v>
      </c>
      <c r="V70" s="523">
        <v>40</v>
      </c>
      <c r="W70" s="523">
        <v>350</v>
      </c>
      <c r="X70" s="520">
        <f t="shared" si="1"/>
        <v>14000</v>
      </c>
      <c r="Y70" s="523">
        <v>45</v>
      </c>
      <c r="Z70" s="523">
        <v>1250</v>
      </c>
      <c r="AA70" s="520">
        <f t="shared" si="2"/>
        <v>56250</v>
      </c>
      <c r="AB70" s="524"/>
      <c r="AC70" s="524"/>
      <c r="AD70" s="520">
        <f t="shared" si="5"/>
        <v>0</v>
      </c>
      <c r="AE70" s="520"/>
      <c r="AF70" s="520"/>
      <c r="AG70" s="617"/>
      <c r="AH70" s="617"/>
      <c r="AI70" s="520">
        <f t="shared" si="3"/>
        <v>0</v>
      </c>
      <c r="AJ70" s="617"/>
      <c r="AK70" s="617"/>
      <c r="AL70" s="520"/>
      <c r="AM70" s="520">
        <v>2000</v>
      </c>
      <c r="AN70" s="520">
        <f t="shared" si="6"/>
        <v>72250</v>
      </c>
      <c r="AO70" s="74"/>
      <c r="AP70" s="74"/>
      <c r="AQ70" s="74"/>
      <c r="AR70" s="74"/>
      <c r="AS70" s="74"/>
      <c r="AT70" s="610">
        <f t="shared" si="7"/>
        <v>72250</v>
      </c>
    </row>
    <row r="71" spans="1:46" ht="49.5" customHeight="1" x14ac:dyDescent="0.25">
      <c r="A71" s="1083"/>
      <c r="B71" s="1129"/>
      <c r="C71" s="1083"/>
      <c r="D71" s="1128"/>
      <c r="E71" s="407" t="s">
        <v>95</v>
      </c>
      <c r="F71" s="615" t="s">
        <v>483</v>
      </c>
      <c r="G71" s="134" t="s">
        <v>485</v>
      </c>
      <c r="H71" s="407"/>
      <c r="I71" s="521"/>
      <c r="J71" s="522"/>
      <c r="K71" s="522"/>
      <c r="L71" s="609">
        <f t="shared" si="11"/>
        <v>0</v>
      </c>
      <c r="M71" s="530"/>
      <c r="N71" s="530"/>
      <c r="O71" s="530"/>
      <c r="P71" s="530"/>
      <c r="Q71" s="530"/>
      <c r="R71" s="530"/>
      <c r="S71" s="530"/>
      <c r="T71" s="530"/>
      <c r="U71" s="520">
        <f t="shared" si="0"/>
        <v>0</v>
      </c>
      <c r="V71" s="523"/>
      <c r="W71" s="523"/>
      <c r="X71" s="520">
        <f t="shared" si="1"/>
        <v>0</v>
      </c>
      <c r="Y71" s="523"/>
      <c r="Z71" s="523"/>
      <c r="AA71" s="520">
        <f t="shared" si="2"/>
        <v>0</v>
      </c>
      <c r="AB71" s="524"/>
      <c r="AC71" s="524"/>
      <c r="AD71" s="520">
        <f t="shared" si="5"/>
        <v>0</v>
      </c>
      <c r="AE71" s="520"/>
      <c r="AF71" s="520"/>
      <c r="AG71" s="617"/>
      <c r="AH71" s="617"/>
      <c r="AI71" s="520">
        <f t="shared" ref="AI71:AI86" si="12">AG71*AH71</f>
        <v>0</v>
      </c>
      <c r="AJ71" s="617"/>
      <c r="AK71" s="617"/>
      <c r="AL71" s="520"/>
      <c r="AM71" s="520"/>
      <c r="AN71" s="520">
        <f t="shared" si="6"/>
        <v>0</v>
      </c>
      <c r="AO71" s="74"/>
      <c r="AP71" s="74"/>
      <c r="AQ71" s="74"/>
      <c r="AR71" s="74"/>
      <c r="AS71" s="74"/>
      <c r="AT71" s="610">
        <f t="shared" si="7"/>
        <v>0</v>
      </c>
    </row>
    <row r="72" spans="1:46" ht="49.5" customHeight="1" x14ac:dyDescent="0.25">
      <c r="A72" s="1083"/>
      <c r="B72" s="1129"/>
      <c r="C72" s="1083"/>
      <c r="D72" s="1083" t="s">
        <v>683</v>
      </c>
      <c r="E72" s="407" t="s">
        <v>203</v>
      </c>
      <c r="F72" s="134" t="s">
        <v>486</v>
      </c>
      <c r="G72" s="134" t="s">
        <v>30</v>
      </c>
      <c r="H72" s="134"/>
      <c r="I72" s="521"/>
      <c r="J72" s="522"/>
      <c r="K72" s="522"/>
      <c r="L72" s="609">
        <f t="shared" si="11"/>
        <v>0</v>
      </c>
      <c r="M72" s="530"/>
      <c r="N72" s="530"/>
      <c r="O72" s="530"/>
      <c r="P72" s="530"/>
      <c r="Q72" s="530"/>
      <c r="R72" s="530"/>
      <c r="S72" s="530"/>
      <c r="T72" s="530"/>
      <c r="U72" s="520">
        <f t="shared" si="0"/>
        <v>0</v>
      </c>
      <c r="V72" s="523"/>
      <c r="W72" s="523"/>
      <c r="X72" s="520">
        <f t="shared" ref="X72:X86" si="13">V72*W72</f>
        <v>0</v>
      </c>
      <c r="Y72" s="523"/>
      <c r="Z72" s="523"/>
      <c r="AA72" s="520">
        <f t="shared" ref="AA72:AA86" si="14">Y72*Z72</f>
        <v>0</v>
      </c>
      <c r="AB72" s="524">
        <f>30*200*3</f>
        <v>18000</v>
      </c>
      <c r="AC72" s="524">
        <v>8</v>
      </c>
      <c r="AD72" s="520">
        <f t="shared" ref="AD72:AD86" si="15">AB72*AC72</f>
        <v>144000</v>
      </c>
      <c r="AE72" s="520"/>
      <c r="AF72" s="520"/>
      <c r="AG72" s="617"/>
      <c r="AH72" s="617"/>
      <c r="AI72" s="520">
        <f t="shared" si="12"/>
        <v>0</v>
      </c>
      <c r="AJ72" s="617"/>
      <c r="AK72" s="617"/>
      <c r="AL72" s="520"/>
      <c r="AM72" s="520"/>
      <c r="AN72" s="520">
        <f t="shared" ref="AN72:AN86" si="16">L72+U72+X72+AA72+AD72+AI72+AL72+AM72+AE72+AF72</f>
        <v>144000</v>
      </c>
      <c r="AO72" s="74"/>
      <c r="AP72" s="74"/>
      <c r="AQ72" s="74"/>
      <c r="AR72" s="74"/>
      <c r="AS72" s="74"/>
      <c r="AT72" s="610">
        <f t="shared" si="7"/>
        <v>144000</v>
      </c>
    </row>
    <row r="73" spans="1:46" ht="42.75" customHeight="1" x14ac:dyDescent="0.25">
      <c r="A73" s="1083"/>
      <c r="B73" s="1129"/>
      <c r="C73" s="1083"/>
      <c r="D73" s="1083"/>
      <c r="E73" s="407" t="s">
        <v>204</v>
      </c>
      <c r="F73" s="531" t="s">
        <v>684</v>
      </c>
      <c r="G73" s="531"/>
      <c r="H73" s="134"/>
      <c r="I73" s="521"/>
      <c r="J73" s="522"/>
      <c r="K73" s="522"/>
      <c r="L73" s="609">
        <f t="shared" si="11"/>
        <v>0</v>
      </c>
      <c r="M73" s="530"/>
      <c r="N73" s="530"/>
      <c r="O73" s="530"/>
      <c r="P73" s="530"/>
      <c r="Q73" s="530"/>
      <c r="R73" s="530"/>
      <c r="S73" s="530"/>
      <c r="T73" s="530"/>
      <c r="U73" s="520">
        <f t="shared" si="0"/>
        <v>0</v>
      </c>
      <c r="V73" s="523">
        <v>20</v>
      </c>
      <c r="W73" s="523">
        <v>350</v>
      </c>
      <c r="X73" s="520">
        <f t="shared" si="13"/>
        <v>7000</v>
      </c>
      <c r="Y73" s="523">
        <v>50</v>
      </c>
      <c r="Z73" s="523">
        <v>1250</v>
      </c>
      <c r="AA73" s="520">
        <f t="shared" si="14"/>
        <v>62500</v>
      </c>
      <c r="AB73" s="524"/>
      <c r="AC73" s="524"/>
      <c r="AD73" s="520">
        <f t="shared" si="15"/>
        <v>0</v>
      </c>
      <c r="AE73" s="520"/>
      <c r="AF73" s="520"/>
      <c r="AG73" s="617"/>
      <c r="AH73" s="617"/>
      <c r="AI73" s="520">
        <f t="shared" si="12"/>
        <v>0</v>
      </c>
      <c r="AJ73" s="617"/>
      <c r="AK73" s="617"/>
      <c r="AL73" s="520"/>
      <c r="AM73" s="520"/>
      <c r="AN73" s="520">
        <f t="shared" si="16"/>
        <v>69500</v>
      </c>
      <c r="AO73" s="74"/>
      <c r="AP73" s="74"/>
      <c r="AQ73" s="74"/>
      <c r="AR73" s="74"/>
      <c r="AS73" s="74"/>
      <c r="AT73" s="610">
        <f t="shared" si="7"/>
        <v>69500</v>
      </c>
    </row>
    <row r="74" spans="1:46" ht="42.75" customHeight="1" x14ac:dyDescent="0.25">
      <c r="A74" s="1083"/>
      <c r="B74" s="1129"/>
      <c r="C74" s="1083"/>
      <c r="D74" s="1083"/>
      <c r="E74" s="407" t="s">
        <v>205</v>
      </c>
      <c r="F74" s="531" t="s">
        <v>487</v>
      </c>
      <c r="G74" s="531" t="s">
        <v>435</v>
      </c>
      <c r="H74" s="134"/>
      <c r="I74" s="521"/>
      <c r="J74" s="522"/>
      <c r="K74" s="522"/>
      <c r="L74" s="609">
        <f t="shared" si="11"/>
        <v>0</v>
      </c>
      <c r="M74" s="530"/>
      <c r="N74" s="530"/>
      <c r="O74" s="530"/>
      <c r="P74" s="530"/>
      <c r="Q74" s="530"/>
      <c r="R74" s="530"/>
      <c r="S74" s="530"/>
      <c r="T74" s="530"/>
      <c r="U74" s="520">
        <f t="shared" si="0"/>
        <v>0</v>
      </c>
      <c r="V74" s="523"/>
      <c r="W74" s="523"/>
      <c r="X74" s="520">
        <f t="shared" si="13"/>
        <v>0</v>
      </c>
      <c r="Y74" s="523"/>
      <c r="Z74" s="523"/>
      <c r="AA74" s="520">
        <f t="shared" si="14"/>
        <v>0</v>
      </c>
      <c r="AB74" s="524"/>
      <c r="AC74" s="524"/>
      <c r="AD74" s="520">
        <f t="shared" si="15"/>
        <v>0</v>
      </c>
      <c r="AE74" s="520"/>
      <c r="AF74" s="520"/>
      <c r="AG74" s="617"/>
      <c r="AH74" s="617"/>
      <c r="AI74" s="520">
        <f t="shared" si="12"/>
        <v>0</v>
      </c>
      <c r="AJ74" s="617"/>
      <c r="AK74" s="617"/>
      <c r="AL74" s="520"/>
      <c r="AM74" s="520"/>
      <c r="AN74" s="520">
        <f t="shared" si="16"/>
        <v>0</v>
      </c>
      <c r="AO74" s="74"/>
      <c r="AP74" s="74"/>
      <c r="AQ74" s="74"/>
      <c r="AR74" s="74"/>
      <c r="AS74" s="74"/>
      <c r="AT74" s="610">
        <f t="shared" si="7"/>
        <v>0</v>
      </c>
    </row>
    <row r="75" spans="1:46" ht="42.75" customHeight="1" x14ac:dyDescent="0.25">
      <c r="A75" s="1083"/>
      <c r="B75" s="1129"/>
      <c r="C75" s="1083"/>
      <c r="D75" s="1083"/>
      <c r="E75" s="407" t="s">
        <v>206</v>
      </c>
      <c r="F75" s="531" t="s">
        <v>488</v>
      </c>
      <c r="G75" s="531" t="s">
        <v>497</v>
      </c>
      <c r="H75" s="134"/>
      <c r="I75" s="521"/>
      <c r="J75" s="522"/>
      <c r="K75" s="522"/>
      <c r="L75" s="609">
        <f t="shared" si="11"/>
        <v>0</v>
      </c>
      <c r="M75" s="530"/>
      <c r="N75" s="530"/>
      <c r="O75" s="530"/>
      <c r="P75" s="530"/>
      <c r="Q75" s="530"/>
      <c r="R75" s="530"/>
      <c r="S75" s="530"/>
      <c r="T75" s="530"/>
      <c r="U75" s="520">
        <f t="shared" si="0"/>
        <v>0</v>
      </c>
      <c r="V75" s="523"/>
      <c r="W75" s="523"/>
      <c r="X75" s="520">
        <f t="shared" si="13"/>
        <v>0</v>
      </c>
      <c r="Y75" s="523"/>
      <c r="Z75" s="523"/>
      <c r="AA75" s="520">
        <f t="shared" si="14"/>
        <v>0</v>
      </c>
      <c r="AB75" s="524"/>
      <c r="AC75" s="524"/>
      <c r="AD75" s="520">
        <f t="shared" si="15"/>
        <v>0</v>
      </c>
      <c r="AE75" s="520"/>
      <c r="AF75" s="520"/>
      <c r="AG75" s="617"/>
      <c r="AH75" s="617"/>
      <c r="AI75" s="520">
        <f t="shared" si="12"/>
        <v>0</v>
      </c>
      <c r="AJ75" s="617"/>
      <c r="AK75" s="617"/>
      <c r="AL75" s="520"/>
      <c r="AM75" s="520"/>
      <c r="AN75" s="520">
        <f t="shared" si="16"/>
        <v>0</v>
      </c>
      <c r="AO75" s="74"/>
      <c r="AP75" s="74"/>
      <c r="AQ75" s="74"/>
      <c r="AR75" s="74"/>
      <c r="AS75" s="74"/>
      <c r="AT75" s="610">
        <f t="shared" si="7"/>
        <v>0</v>
      </c>
    </row>
    <row r="76" spans="1:46" ht="45.75" customHeight="1" x14ac:dyDescent="0.25">
      <c r="A76" s="1083"/>
      <c r="B76" s="1129"/>
      <c r="C76" s="1083">
        <v>3.2</v>
      </c>
      <c r="D76" s="1126" t="s">
        <v>686</v>
      </c>
      <c r="E76" s="407" t="s">
        <v>22</v>
      </c>
      <c r="F76" s="134" t="s">
        <v>685</v>
      </c>
      <c r="G76" s="134"/>
      <c r="H76" s="134" t="s">
        <v>97</v>
      </c>
      <c r="I76" s="521"/>
      <c r="J76" s="522"/>
      <c r="K76" s="522"/>
      <c r="L76" s="609">
        <f t="shared" si="11"/>
        <v>0</v>
      </c>
      <c r="M76" s="530"/>
      <c r="N76" s="530"/>
      <c r="O76" s="530"/>
      <c r="P76" s="530"/>
      <c r="Q76" s="530"/>
      <c r="R76" s="530"/>
      <c r="S76" s="530"/>
      <c r="T76" s="530"/>
      <c r="U76" s="520">
        <f t="shared" si="0"/>
        <v>0</v>
      </c>
      <c r="V76" s="523">
        <v>30</v>
      </c>
      <c r="W76" s="523">
        <v>350</v>
      </c>
      <c r="X76" s="520">
        <f t="shared" si="13"/>
        <v>10500</v>
      </c>
      <c r="Y76" s="523">
        <v>40</v>
      </c>
      <c r="Z76" s="523">
        <v>1250</v>
      </c>
      <c r="AA76" s="520">
        <f t="shared" si="14"/>
        <v>50000</v>
      </c>
      <c r="AB76" s="524"/>
      <c r="AC76" s="524"/>
      <c r="AD76" s="520">
        <f t="shared" si="15"/>
        <v>0</v>
      </c>
      <c r="AE76" s="520"/>
      <c r="AF76" s="520"/>
      <c r="AG76" s="617"/>
      <c r="AH76" s="617"/>
      <c r="AI76" s="520">
        <f t="shared" si="12"/>
        <v>0</v>
      </c>
      <c r="AJ76" s="617"/>
      <c r="AK76" s="617"/>
      <c r="AL76" s="520">
        <f>AJ76*AK76</f>
        <v>0</v>
      </c>
      <c r="AM76" s="520">
        <v>1000</v>
      </c>
      <c r="AN76" s="520">
        <f t="shared" si="16"/>
        <v>61500</v>
      </c>
      <c r="AO76" s="74"/>
      <c r="AP76" s="74"/>
      <c r="AQ76" s="74"/>
      <c r="AR76" s="74">
        <f>AN76</f>
        <v>61500</v>
      </c>
      <c r="AS76" s="74"/>
      <c r="AT76" s="610">
        <f t="shared" si="7"/>
        <v>0</v>
      </c>
    </row>
    <row r="77" spans="1:46" ht="48.75" customHeight="1" x14ac:dyDescent="0.25">
      <c r="A77" s="1083"/>
      <c r="B77" s="1129"/>
      <c r="C77" s="1083"/>
      <c r="D77" s="1084"/>
      <c r="E77" s="407" t="s">
        <v>23</v>
      </c>
      <c r="F77" s="134" t="s">
        <v>490</v>
      </c>
      <c r="G77" s="134"/>
      <c r="H77" s="134" t="s">
        <v>98</v>
      </c>
      <c r="I77" s="521"/>
      <c r="J77" s="522"/>
      <c r="K77" s="522"/>
      <c r="L77" s="609">
        <f t="shared" si="11"/>
        <v>0</v>
      </c>
      <c r="M77" s="530">
        <v>1</v>
      </c>
      <c r="N77" s="530">
        <v>2</v>
      </c>
      <c r="O77" s="530">
        <v>10</v>
      </c>
      <c r="P77" s="530">
        <v>350</v>
      </c>
      <c r="Q77" s="530">
        <v>25</v>
      </c>
      <c r="R77" s="530">
        <v>50</v>
      </c>
      <c r="S77" s="530">
        <v>20</v>
      </c>
      <c r="T77" s="530"/>
      <c r="U77" s="520">
        <f t="shared" si="0"/>
        <v>2400</v>
      </c>
      <c r="V77" s="523">
        <v>5</v>
      </c>
      <c r="W77" s="523">
        <v>350</v>
      </c>
      <c r="X77" s="520">
        <f t="shared" si="13"/>
        <v>1750</v>
      </c>
      <c r="Y77" s="523">
        <v>5</v>
      </c>
      <c r="Z77" s="523">
        <v>1250</v>
      </c>
      <c r="AA77" s="520">
        <f t="shared" si="14"/>
        <v>6250</v>
      </c>
      <c r="AB77" s="524"/>
      <c r="AC77" s="524"/>
      <c r="AD77" s="520">
        <f t="shared" si="15"/>
        <v>0</v>
      </c>
      <c r="AE77" s="520"/>
      <c r="AF77" s="520"/>
      <c r="AG77" s="617"/>
      <c r="AH77" s="617"/>
      <c r="AI77" s="520">
        <f t="shared" si="12"/>
        <v>0</v>
      </c>
      <c r="AJ77" s="617"/>
      <c r="AK77" s="617"/>
      <c r="AL77" s="520"/>
      <c r="AM77" s="520">
        <v>1000</v>
      </c>
      <c r="AN77" s="520">
        <f t="shared" si="16"/>
        <v>11400</v>
      </c>
      <c r="AO77" s="74"/>
      <c r="AP77" s="74"/>
      <c r="AQ77" s="74"/>
      <c r="AR77" s="74">
        <f>AN77</f>
        <v>11400</v>
      </c>
      <c r="AS77" s="74"/>
      <c r="AT77" s="610">
        <f t="shared" si="7"/>
        <v>0</v>
      </c>
    </row>
    <row r="78" spans="1:46" ht="33" customHeight="1" x14ac:dyDescent="0.25">
      <c r="A78" s="1083"/>
      <c r="B78" s="1129"/>
      <c r="C78" s="1083"/>
      <c r="D78" s="1084"/>
      <c r="E78" s="407" t="s">
        <v>53</v>
      </c>
      <c r="F78" s="134" t="s">
        <v>489</v>
      </c>
      <c r="G78" s="134"/>
      <c r="H78" s="134" t="s">
        <v>99</v>
      </c>
      <c r="I78" s="521"/>
      <c r="J78" s="522"/>
      <c r="K78" s="522"/>
      <c r="L78" s="609">
        <f t="shared" si="11"/>
        <v>0</v>
      </c>
      <c r="M78" s="530">
        <f>20*3</f>
        <v>60</v>
      </c>
      <c r="N78" s="530">
        <v>2</v>
      </c>
      <c r="O78" s="530">
        <v>20</v>
      </c>
      <c r="P78" s="530"/>
      <c r="Q78" s="530">
        <v>25</v>
      </c>
      <c r="R78" s="530"/>
      <c r="S78" s="530">
        <v>20</v>
      </c>
      <c r="T78" s="530">
        <v>65</v>
      </c>
      <c r="U78" s="520">
        <f t="shared" si="0"/>
        <v>91800</v>
      </c>
      <c r="V78" s="523"/>
      <c r="W78" s="523"/>
      <c r="X78" s="520">
        <f t="shared" si="13"/>
        <v>0</v>
      </c>
      <c r="Y78" s="523"/>
      <c r="Z78" s="523"/>
      <c r="AA78" s="520">
        <f t="shared" si="14"/>
        <v>0</v>
      </c>
      <c r="AB78" s="524"/>
      <c r="AC78" s="524"/>
      <c r="AD78" s="520">
        <f t="shared" si="15"/>
        <v>0</v>
      </c>
      <c r="AE78" s="520"/>
      <c r="AF78" s="520"/>
      <c r="AG78" s="617"/>
      <c r="AH78" s="617"/>
      <c r="AI78" s="520">
        <f t="shared" si="12"/>
        <v>0</v>
      </c>
      <c r="AJ78" s="617"/>
      <c r="AK78" s="617"/>
      <c r="AL78" s="520"/>
      <c r="AM78" s="520">
        <v>1000</v>
      </c>
      <c r="AN78" s="520">
        <f t="shared" si="16"/>
        <v>92800</v>
      </c>
      <c r="AO78" s="74"/>
      <c r="AP78" s="74"/>
      <c r="AQ78" s="74"/>
      <c r="AR78" s="74"/>
      <c r="AS78" s="74"/>
      <c r="AT78" s="610">
        <f t="shared" si="7"/>
        <v>92800</v>
      </c>
    </row>
    <row r="79" spans="1:46" ht="34.5" customHeight="1" x14ac:dyDescent="0.25">
      <c r="A79" s="1083"/>
      <c r="B79" s="1129"/>
      <c r="C79" s="1083"/>
      <c r="D79" s="1084"/>
      <c r="E79" s="407" t="s">
        <v>54</v>
      </c>
      <c r="F79" s="545" t="s">
        <v>687</v>
      </c>
      <c r="G79" s="772" t="s">
        <v>491</v>
      </c>
      <c r="H79" s="134"/>
      <c r="I79" s="521"/>
      <c r="J79" s="522"/>
      <c r="K79" s="522"/>
      <c r="L79" s="609">
        <f t="shared" si="11"/>
        <v>0</v>
      </c>
      <c r="M79" s="530">
        <v>1</v>
      </c>
      <c r="N79" s="530">
        <v>2</v>
      </c>
      <c r="O79" s="530">
        <v>4</v>
      </c>
      <c r="P79" s="530"/>
      <c r="Q79" s="530">
        <v>25</v>
      </c>
      <c r="R79" s="530"/>
      <c r="S79" s="530">
        <v>20</v>
      </c>
      <c r="T79" s="530"/>
      <c r="U79" s="520">
        <f t="shared" si="0"/>
        <v>280</v>
      </c>
      <c r="V79" s="523"/>
      <c r="W79" s="523"/>
      <c r="X79" s="520">
        <f t="shared" si="13"/>
        <v>0</v>
      </c>
      <c r="Y79" s="523">
        <v>50</v>
      </c>
      <c r="Z79" s="523">
        <v>1250</v>
      </c>
      <c r="AA79" s="520">
        <f t="shared" si="14"/>
        <v>62500</v>
      </c>
      <c r="AB79" s="524">
        <v>200</v>
      </c>
      <c r="AC79" s="524">
        <v>10</v>
      </c>
      <c r="AD79" s="520">
        <f t="shared" si="15"/>
        <v>2000</v>
      </c>
      <c r="AE79" s="520"/>
      <c r="AF79" s="520"/>
      <c r="AG79" s="617"/>
      <c r="AH79" s="617"/>
      <c r="AI79" s="520">
        <f t="shared" si="12"/>
        <v>0</v>
      </c>
      <c r="AJ79" s="617"/>
      <c r="AK79" s="617"/>
      <c r="AL79" s="520"/>
      <c r="AM79" s="520"/>
      <c r="AN79" s="520">
        <f t="shared" si="16"/>
        <v>64780</v>
      </c>
      <c r="AO79" s="74"/>
      <c r="AP79" s="74"/>
      <c r="AQ79" s="74"/>
      <c r="AR79" s="74"/>
      <c r="AS79" s="74"/>
      <c r="AT79" s="610">
        <f t="shared" si="7"/>
        <v>64780</v>
      </c>
    </row>
    <row r="80" spans="1:46" ht="30" customHeight="1" x14ac:dyDescent="0.25">
      <c r="A80" s="1083"/>
      <c r="B80" s="1129"/>
      <c r="C80" s="1083"/>
      <c r="D80" s="1127"/>
      <c r="E80" s="407" t="s">
        <v>96</v>
      </c>
      <c r="F80" s="545" t="s">
        <v>688</v>
      </c>
      <c r="G80" s="788" t="s">
        <v>491</v>
      </c>
      <c r="H80" s="134"/>
      <c r="I80" s="521"/>
      <c r="J80" s="522"/>
      <c r="K80" s="522"/>
      <c r="L80" s="609">
        <f t="shared" si="11"/>
        <v>0</v>
      </c>
      <c r="M80" s="530"/>
      <c r="N80" s="530"/>
      <c r="O80" s="530"/>
      <c r="P80" s="530"/>
      <c r="Q80" s="530"/>
      <c r="R80" s="530"/>
      <c r="S80" s="530"/>
      <c r="T80" s="530"/>
      <c r="U80" s="520">
        <f t="shared" si="0"/>
        <v>0</v>
      </c>
      <c r="V80" s="523"/>
      <c r="W80" s="523"/>
      <c r="X80" s="520">
        <f t="shared" si="13"/>
        <v>0</v>
      </c>
      <c r="Y80" s="523">
        <v>60</v>
      </c>
      <c r="Z80" s="523">
        <v>1250</v>
      </c>
      <c r="AA80" s="520">
        <f t="shared" si="14"/>
        <v>75000</v>
      </c>
      <c r="AB80" s="524">
        <v>500</v>
      </c>
      <c r="AC80" s="524">
        <v>10</v>
      </c>
      <c r="AD80" s="520">
        <f t="shared" si="15"/>
        <v>5000</v>
      </c>
      <c r="AE80" s="520"/>
      <c r="AF80" s="520"/>
      <c r="AG80" s="617"/>
      <c r="AH80" s="617"/>
      <c r="AI80" s="520">
        <f t="shared" si="12"/>
        <v>0</v>
      </c>
      <c r="AJ80" s="617"/>
      <c r="AK80" s="617"/>
      <c r="AL80" s="520">
        <f>AJ80*AK80</f>
        <v>0</v>
      </c>
      <c r="AM80" s="520"/>
      <c r="AN80" s="520">
        <f t="shared" si="16"/>
        <v>80000</v>
      </c>
      <c r="AO80" s="74"/>
      <c r="AP80" s="74"/>
      <c r="AQ80" s="74"/>
      <c r="AR80" s="74"/>
      <c r="AS80" s="74"/>
      <c r="AT80" s="610">
        <f t="shared" si="7"/>
        <v>80000</v>
      </c>
    </row>
    <row r="81" spans="1:49" ht="42.75" customHeight="1" x14ac:dyDescent="0.25">
      <c r="A81" s="1083"/>
      <c r="B81" s="1129"/>
      <c r="C81" s="1083">
        <v>3.4</v>
      </c>
      <c r="D81" s="1126" t="s">
        <v>492</v>
      </c>
      <c r="E81" s="625" t="s">
        <v>125</v>
      </c>
      <c r="F81" s="546" t="s">
        <v>494</v>
      </c>
      <c r="G81" s="134" t="s">
        <v>435</v>
      </c>
      <c r="H81" s="134"/>
      <c r="I81" s="522"/>
      <c r="J81" s="522"/>
      <c r="K81" s="522"/>
      <c r="L81" s="609">
        <f t="shared" si="11"/>
        <v>0</v>
      </c>
      <c r="M81" s="530"/>
      <c r="N81" s="530"/>
      <c r="O81" s="530"/>
      <c r="P81" s="530"/>
      <c r="Q81" s="530"/>
      <c r="R81" s="530"/>
      <c r="S81" s="530"/>
      <c r="T81" s="530"/>
      <c r="U81" s="520">
        <f t="shared" si="0"/>
        <v>0</v>
      </c>
      <c r="V81" s="523"/>
      <c r="W81" s="523"/>
      <c r="X81" s="520"/>
      <c r="Y81" s="523"/>
      <c r="Z81" s="523"/>
      <c r="AA81" s="520">
        <f t="shared" si="14"/>
        <v>0</v>
      </c>
      <c r="AB81" s="524"/>
      <c r="AC81" s="524"/>
      <c r="AD81" s="520">
        <f t="shared" si="15"/>
        <v>0</v>
      </c>
      <c r="AE81" s="520"/>
      <c r="AF81" s="520"/>
      <c r="AG81" s="617"/>
      <c r="AH81" s="617"/>
      <c r="AI81" s="520">
        <f t="shared" si="12"/>
        <v>0</v>
      </c>
      <c r="AJ81" s="617"/>
      <c r="AK81" s="617"/>
      <c r="AL81" s="520">
        <f>AJ81*AK81</f>
        <v>0</v>
      </c>
      <c r="AM81" s="520">
        <f>1800000/140</f>
        <v>12857.142857142857</v>
      </c>
      <c r="AN81" s="520">
        <f t="shared" si="16"/>
        <v>12857.142857142857</v>
      </c>
      <c r="AO81" s="74">
        <f>AN81</f>
        <v>12857.142857142857</v>
      </c>
      <c r="AP81" s="74"/>
      <c r="AQ81" s="74"/>
      <c r="AR81" s="74"/>
      <c r="AS81" s="74"/>
      <c r="AT81" s="610">
        <f t="shared" si="7"/>
        <v>0</v>
      </c>
    </row>
    <row r="82" spans="1:49" ht="43.5" customHeight="1" x14ac:dyDescent="0.25">
      <c r="A82" s="1083"/>
      <c r="B82" s="1129"/>
      <c r="C82" s="1083"/>
      <c r="D82" s="1084"/>
      <c r="E82" s="625" t="s">
        <v>126</v>
      </c>
      <c r="F82" s="546" t="s">
        <v>495</v>
      </c>
      <c r="G82" s="805" t="s">
        <v>217</v>
      </c>
      <c r="H82" s="134"/>
      <c r="I82" s="522"/>
      <c r="J82" s="522"/>
      <c r="K82" s="522"/>
      <c r="L82" s="609">
        <f t="shared" si="11"/>
        <v>0</v>
      </c>
      <c r="M82" s="530"/>
      <c r="N82" s="530"/>
      <c r="O82" s="530"/>
      <c r="P82" s="530"/>
      <c r="Q82" s="530"/>
      <c r="R82" s="530"/>
      <c r="S82" s="530"/>
      <c r="T82" s="530"/>
      <c r="U82" s="520">
        <f t="shared" si="0"/>
        <v>0</v>
      </c>
      <c r="V82" s="523"/>
      <c r="W82" s="523"/>
      <c r="X82" s="520">
        <f>9137556/140</f>
        <v>65268.257142857146</v>
      </c>
      <c r="Y82" s="523"/>
      <c r="Z82" s="523"/>
      <c r="AA82" s="520">
        <f t="shared" si="14"/>
        <v>0</v>
      </c>
      <c r="AB82" s="524"/>
      <c r="AC82" s="524"/>
      <c r="AD82" s="520">
        <f t="shared" si="15"/>
        <v>0</v>
      </c>
      <c r="AE82" s="520"/>
      <c r="AF82" s="520"/>
      <c r="AG82" s="617"/>
      <c r="AH82" s="617"/>
      <c r="AI82" s="520">
        <f t="shared" si="12"/>
        <v>0</v>
      </c>
      <c r="AJ82" s="617"/>
      <c r="AK82" s="617"/>
      <c r="AL82" s="520"/>
      <c r="AM82" s="520"/>
      <c r="AN82" s="520">
        <f t="shared" si="16"/>
        <v>65268.257142857146</v>
      </c>
      <c r="AO82" s="74">
        <f>AN82</f>
        <v>65268.257142857146</v>
      </c>
      <c r="AP82" s="74"/>
      <c r="AQ82" s="74"/>
      <c r="AR82" s="74"/>
      <c r="AS82" s="74"/>
      <c r="AT82" s="610">
        <f t="shared" si="7"/>
        <v>0</v>
      </c>
    </row>
    <row r="83" spans="1:49" ht="27.75" customHeight="1" x14ac:dyDescent="0.25">
      <c r="A83" s="1083"/>
      <c r="B83" s="1129"/>
      <c r="C83" s="1083"/>
      <c r="D83" s="1084"/>
      <c r="E83" s="625" t="s">
        <v>127</v>
      </c>
      <c r="F83" s="546" t="s">
        <v>493</v>
      </c>
      <c r="G83" s="805" t="s">
        <v>217</v>
      </c>
      <c r="H83" s="134"/>
      <c r="I83" s="522"/>
      <c r="J83" s="522"/>
      <c r="K83" s="522"/>
      <c r="L83" s="609">
        <f t="shared" si="11"/>
        <v>0</v>
      </c>
      <c r="M83" s="530"/>
      <c r="N83" s="530"/>
      <c r="O83" s="530"/>
      <c r="P83" s="530"/>
      <c r="Q83" s="530"/>
      <c r="R83" s="530"/>
      <c r="S83" s="530"/>
      <c r="T83" s="530"/>
      <c r="U83" s="520">
        <f t="shared" si="0"/>
        <v>0</v>
      </c>
      <c r="V83" s="523"/>
      <c r="W83" s="523"/>
      <c r="X83" s="520">
        <f t="shared" si="13"/>
        <v>0</v>
      </c>
      <c r="Y83" s="523"/>
      <c r="Z83" s="523"/>
      <c r="AA83" s="520">
        <f t="shared" si="14"/>
        <v>0</v>
      </c>
      <c r="AB83" s="524"/>
      <c r="AC83" s="524"/>
      <c r="AD83" s="520">
        <f t="shared" si="15"/>
        <v>0</v>
      </c>
      <c r="AE83" s="520"/>
      <c r="AF83" s="520"/>
      <c r="AG83" s="617"/>
      <c r="AH83" s="617"/>
      <c r="AI83" s="520">
        <f t="shared" si="12"/>
        <v>0</v>
      </c>
      <c r="AJ83" s="617"/>
      <c r="AK83" s="617"/>
      <c r="AL83" s="520"/>
      <c r="AM83" s="520">
        <f>1058400/140/3</f>
        <v>2520</v>
      </c>
      <c r="AN83" s="520">
        <f t="shared" si="16"/>
        <v>2520</v>
      </c>
      <c r="AO83" s="74">
        <f>AN83</f>
        <v>2520</v>
      </c>
      <c r="AP83" s="74"/>
      <c r="AQ83" s="74"/>
      <c r="AR83" s="74"/>
      <c r="AS83" s="74"/>
      <c r="AT83" s="610">
        <f t="shared" si="7"/>
        <v>0</v>
      </c>
    </row>
    <row r="84" spans="1:49" ht="34.5" customHeight="1" x14ac:dyDescent="0.25">
      <c r="A84" s="1083"/>
      <c r="B84" s="1129"/>
      <c r="C84" s="1083"/>
      <c r="D84" s="1084"/>
      <c r="E84" s="625" t="s">
        <v>128</v>
      </c>
      <c r="F84" s="546" t="s">
        <v>496</v>
      </c>
      <c r="G84" s="626" t="s">
        <v>435</v>
      </c>
      <c r="H84" s="134"/>
      <c r="I84" s="521"/>
      <c r="J84" s="522"/>
      <c r="K84" s="522"/>
      <c r="L84" s="609">
        <f t="shared" si="11"/>
        <v>0</v>
      </c>
      <c r="M84" s="530"/>
      <c r="N84" s="530"/>
      <c r="O84" s="530"/>
      <c r="P84" s="530"/>
      <c r="Q84" s="530"/>
      <c r="R84" s="530"/>
      <c r="S84" s="530"/>
      <c r="T84" s="530"/>
      <c r="U84" s="520">
        <f t="shared" si="0"/>
        <v>0</v>
      </c>
      <c r="V84" s="523"/>
      <c r="W84" s="523"/>
      <c r="X84" s="520">
        <f t="shared" si="13"/>
        <v>0</v>
      </c>
      <c r="Y84" s="523"/>
      <c r="Z84" s="523"/>
      <c r="AA84" s="520">
        <f t="shared" si="14"/>
        <v>0</v>
      </c>
      <c r="AB84" s="524"/>
      <c r="AC84" s="524"/>
      <c r="AD84" s="520">
        <f t="shared" si="15"/>
        <v>0</v>
      </c>
      <c r="AE84" s="520"/>
      <c r="AF84" s="520"/>
      <c r="AG84" s="617"/>
      <c r="AH84" s="617"/>
      <c r="AI84" s="520">
        <f t="shared" si="12"/>
        <v>0</v>
      </c>
      <c r="AJ84" s="617"/>
      <c r="AK84" s="617"/>
      <c r="AL84" s="520"/>
      <c r="AM84" s="520"/>
      <c r="AN84" s="520">
        <f t="shared" si="16"/>
        <v>0</v>
      </c>
      <c r="AO84" s="74"/>
      <c r="AP84" s="74"/>
      <c r="AQ84" s="74"/>
      <c r="AR84" s="74"/>
      <c r="AS84" s="74"/>
      <c r="AT84" s="610">
        <f t="shared" si="7"/>
        <v>0</v>
      </c>
    </row>
    <row r="85" spans="1:49" ht="26.25" customHeight="1" x14ac:dyDescent="0.25">
      <c r="A85" s="1083"/>
      <c r="B85" s="1129"/>
      <c r="C85" s="1083"/>
      <c r="D85" s="1084"/>
      <c r="E85" s="625" t="s">
        <v>207</v>
      </c>
      <c r="F85" s="546"/>
      <c r="G85" s="134"/>
      <c r="H85" s="134"/>
      <c r="I85" s="521"/>
      <c r="J85" s="522"/>
      <c r="K85" s="522"/>
      <c r="L85" s="609">
        <f t="shared" si="11"/>
        <v>0</v>
      </c>
      <c r="M85" s="530"/>
      <c r="N85" s="530"/>
      <c r="O85" s="530"/>
      <c r="P85" s="530"/>
      <c r="Q85" s="530"/>
      <c r="R85" s="530"/>
      <c r="S85" s="530"/>
      <c r="T85" s="530"/>
      <c r="U85" s="520">
        <f t="shared" si="0"/>
        <v>0</v>
      </c>
      <c r="V85" s="523"/>
      <c r="W85" s="523"/>
      <c r="X85" s="520">
        <f t="shared" si="13"/>
        <v>0</v>
      </c>
      <c r="Y85" s="523"/>
      <c r="Z85" s="523"/>
      <c r="AA85" s="520">
        <f t="shared" si="14"/>
        <v>0</v>
      </c>
      <c r="AB85" s="524"/>
      <c r="AC85" s="524"/>
      <c r="AD85" s="520">
        <f t="shared" si="15"/>
        <v>0</v>
      </c>
      <c r="AE85" s="520"/>
      <c r="AF85" s="520"/>
      <c r="AG85" s="617"/>
      <c r="AH85" s="617"/>
      <c r="AI85" s="520">
        <f t="shared" si="12"/>
        <v>0</v>
      </c>
      <c r="AJ85" s="617"/>
      <c r="AK85" s="617"/>
      <c r="AL85" s="520"/>
      <c r="AM85" s="520"/>
      <c r="AN85" s="520">
        <f t="shared" si="16"/>
        <v>0</v>
      </c>
      <c r="AO85" s="74"/>
      <c r="AP85" s="74"/>
      <c r="AQ85" s="74"/>
      <c r="AR85" s="74"/>
      <c r="AS85" s="74"/>
      <c r="AT85" s="610">
        <f t="shared" si="7"/>
        <v>0</v>
      </c>
    </row>
    <row r="86" spans="1:49" ht="20.25" customHeight="1" x14ac:dyDescent="0.25">
      <c r="A86" s="1083"/>
      <c r="B86" s="1129"/>
      <c r="C86" s="1083"/>
      <c r="D86" s="1127"/>
      <c r="E86" s="625" t="s">
        <v>208</v>
      </c>
      <c r="F86" s="134"/>
      <c r="G86" s="134"/>
      <c r="H86" s="134"/>
      <c r="I86" s="521"/>
      <c r="J86" s="522"/>
      <c r="K86" s="522"/>
      <c r="L86" s="609">
        <f t="shared" si="11"/>
        <v>0</v>
      </c>
      <c r="M86" s="530"/>
      <c r="N86" s="530"/>
      <c r="O86" s="530"/>
      <c r="P86" s="530"/>
      <c r="Q86" s="530"/>
      <c r="R86" s="530"/>
      <c r="S86" s="530"/>
      <c r="T86" s="530"/>
      <c r="U86" s="520">
        <f t="shared" si="0"/>
        <v>0</v>
      </c>
      <c r="V86" s="523"/>
      <c r="W86" s="523"/>
      <c r="X86" s="520">
        <f t="shared" si="13"/>
        <v>0</v>
      </c>
      <c r="Y86" s="523"/>
      <c r="Z86" s="523"/>
      <c r="AA86" s="520">
        <f t="shared" si="14"/>
        <v>0</v>
      </c>
      <c r="AB86" s="524"/>
      <c r="AC86" s="524"/>
      <c r="AD86" s="520">
        <f t="shared" si="15"/>
        <v>0</v>
      </c>
      <c r="AE86" s="520"/>
      <c r="AF86" s="520"/>
      <c r="AG86" s="617"/>
      <c r="AH86" s="617"/>
      <c r="AI86" s="520">
        <f t="shared" si="12"/>
        <v>0</v>
      </c>
      <c r="AJ86" s="617"/>
      <c r="AK86" s="617"/>
      <c r="AL86" s="520">
        <f>AJ86*AK86</f>
        <v>0</v>
      </c>
      <c r="AM86" s="520"/>
      <c r="AN86" s="520">
        <f t="shared" si="16"/>
        <v>0</v>
      </c>
      <c r="AO86" s="74"/>
      <c r="AP86" s="74"/>
      <c r="AQ86" s="74"/>
      <c r="AR86" s="74"/>
      <c r="AS86" s="74"/>
      <c r="AT86" s="610">
        <f t="shared" si="7"/>
        <v>0</v>
      </c>
    </row>
    <row r="87" spans="1:49" ht="20.25" customHeight="1" x14ac:dyDescent="0.25">
      <c r="A87" s="407"/>
      <c r="B87" s="446"/>
      <c r="C87" s="447"/>
      <c r="D87" s="448" t="s">
        <v>500</v>
      </c>
      <c r="E87" s="447"/>
      <c r="F87" s="448"/>
      <c r="G87" s="448"/>
      <c r="H87" s="448"/>
      <c r="I87" s="532"/>
      <c r="J87" s="533"/>
      <c r="K87" s="533"/>
      <c r="L87" s="534"/>
      <c r="M87" s="533"/>
      <c r="N87" s="533"/>
      <c r="O87" s="533"/>
      <c r="P87" s="533"/>
      <c r="Q87" s="533"/>
      <c r="R87" s="533"/>
      <c r="S87" s="533"/>
      <c r="T87" s="533"/>
      <c r="U87" s="532">
        <f>SUM(U66:U86)</f>
        <v>94480</v>
      </c>
      <c r="V87" s="532"/>
      <c r="W87" s="532"/>
      <c r="X87" s="532">
        <f t="shared" ref="X87:AT87" si="17">SUM(X66:X86)</f>
        <v>133518.25714285715</v>
      </c>
      <c r="Y87" s="532"/>
      <c r="Z87" s="532"/>
      <c r="AA87" s="532">
        <f t="shared" si="17"/>
        <v>525000</v>
      </c>
      <c r="AB87" s="532"/>
      <c r="AC87" s="532"/>
      <c r="AD87" s="532">
        <f t="shared" si="17"/>
        <v>151000</v>
      </c>
      <c r="AE87" s="532">
        <f t="shared" si="17"/>
        <v>0</v>
      </c>
      <c r="AF87" s="532">
        <f t="shared" si="17"/>
        <v>0</v>
      </c>
      <c r="AG87" s="532">
        <f t="shared" si="17"/>
        <v>0</v>
      </c>
      <c r="AH87" s="532">
        <f t="shared" si="17"/>
        <v>0</v>
      </c>
      <c r="AI87" s="532">
        <f t="shared" si="17"/>
        <v>0</v>
      </c>
      <c r="AJ87" s="532">
        <f t="shared" si="17"/>
        <v>0</v>
      </c>
      <c r="AK87" s="532">
        <f t="shared" si="17"/>
        <v>0</v>
      </c>
      <c r="AL87" s="532">
        <f t="shared" si="17"/>
        <v>0</v>
      </c>
      <c r="AM87" s="532">
        <f t="shared" si="17"/>
        <v>27377.142857142855</v>
      </c>
      <c r="AN87" s="532">
        <f t="shared" si="17"/>
        <v>931375.4</v>
      </c>
      <c r="AO87" s="532">
        <f t="shared" si="17"/>
        <v>80645.400000000009</v>
      </c>
      <c r="AP87" s="532">
        <f t="shared" si="17"/>
        <v>0</v>
      </c>
      <c r="AQ87" s="532">
        <f t="shared" si="17"/>
        <v>0</v>
      </c>
      <c r="AR87" s="532">
        <f t="shared" si="17"/>
        <v>72900</v>
      </c>
      <c r="AS87" s="532">
        <f t="shared" si="17"/>
        <v>0</v>
      </c>
      <c r="AT87" s="532">
        <f t="shared" si="17"/>
        <v>777830</v>
      </c>
    </row>
    <row r="88" spans="1:49" x14ac:dyDescent="0.25">
      <c r="A88" s="627"/>
      <c r="B88" s="628"/>
      <c r="C88" s="627"/>
      <c r="D88" s="629"/>
      <c r="E88" s="630"/>
      <c r="F88" s="631"/>
      <c r="G88" s="632"/>
      <c r="H88" s="632"/>
      <c r="I88" s="633"/>
      <c r="J88" s="633"/>
      <c r="K88" s="633"/>
      <c r="L88" s="633">
        <f t="shared" ref="L88:AT88" si="18">L42+L64+L87</f>
        <v>259200</v>
      </c>
      <c r="M88" s="633">
        <f t="shared" si="18"/>
        <v>0</v>
      </c>
      <c r="N88" s="633">
        <f t="shared" si="18"/>
        <v>0</v>
      </c>
      <c r="O88" s="633">
        <f t="shared" si="18"/>
        <v>0</v>
      </c>
      <c r="P88" s="633">
        <f t="shared" si="18"/>
        <v>0</v>
      </c>
      <c r="Q88" s="633">
        <f t="shared" si="18"/>
        <v>0</v>
      </c>
      <c r="R88" s="633">
        <f t="shared" si="18"/>
        <v>0</v>
      </c>
      <c r="S88" s="633">
        <f t="shared" si="18"/>
        <v>0</v>
      </c>
      <c r="T88" s="633">
        <f t="shared" si="18"/>
        <v>0</v>
      </c>
      <c r="U88" s="633">
        <f t="shared" si="18"/>
        <v>883515</v>
      </c>
      <c r="V88" s="633">
        <f t="shared" si="18"/>
        <v>0</v>
      </c>
      <c r="W88" s="633">
        <f t="shared" si="18"/>
        <v>0</v>
      </c>
      <c r="X88" s="633">
        <f t="shared" si="18"/>
        <v>2571218.2571428572</v>
      </c>
      <c r="Y88" s="633">
        <f t="shared" si="18"/>
        <v>0</v>
      </c>
      <c r="Z88" s="633">
        <f t="shared" si="18"/>
        <v>0</v>
      </c>
      <c r="AA88" s="633">
        <f t="shared" si="18"/>
        <v>6506250</v>
      </c>
      <c r="AB88" s="633">
        <f t="shared" si="18"/>
        <v>0</v>
      </c>
      <c r="AC88" s="633">
        <f t="shared" si="18"/>
        <v>0</v>
      </c>
      <c r="AD88" s="633">
        <f t="shared" si="18"/>
        <v>179500</v>
      </c>
      <c r="AE88" s="633">
        <f t="shared" si="18"/>
        <v>0</v>
      </c>
      <c r="AF88" s="633">
        <f t="shared" si="18"/>
        <v>250000</v>
      </c>
      <c r="AG88" s="633">
        <f t="shared" si="18"/>
        <v>0</v>
      </c>
      <c r="AH88" s="633">
        <f t="shared" si="18"/>
        <v>0</v>
      </c>
      <c r="AI88" s="633">
        <f t="shared" si="18"/>
        <v>0</v>
      </c>
      <c r="AJ88" s="633">
        <f t="shared" si="18"/>
        <v>0</v>
      </c>
      <c r="AK88" s="633">
        <f t="shared" si="18"/>
        <v>0</v>
      </c>
      <c r="AL88" s="633">
        <f t="shared" si="18"/>
        <v>0</v>
      </c>
      <c r="AM88" s="633">
        <f t="shared" si="18"/>
        <v>202897.14285714284</v>
      </c>
      <c r="AN88" s="633">
        <f t="shared" si="18"/>
        <v>10852580.4</v>
      </c>
      <c r="AO88" s="633">
        <f t="shared" si="18"/>
        <v>96145.400000000009</v>
      </c>
      <c r="AP88" s="633">
        <f t="shared" si="18"/>
        <v>450000</v>
      </c>
      <c r="AQ88" s="633">
        <f t="shared" si="18"/>
        <v>0</v>
      </c>
      <c r="AR88" s="633">
        <f t="shared" si="18"/>
        <v>372900</v>
      </c>
      <c r="AS88" s="633">
        <f t="shared" si="18"/>
        <v>0</v>
      </c>
      <c r="AT88" s="633">
        <f t="shared" si="18"/>
        <v>9933535</v>
      </c>
    </row>
    <row r="91" spans="1:49" x14ac:dyDescent="0.25">
      <c r="AN91" s="543">
        <f>AO88+AP88+AQ88+AR88+AS88+AT88</f>
        <v>10852580.4</v>
      </c>
      <c r="AO91" s="543"/>
      <c r="AP91" s="543"/>
      <c r="AQ91" s="543"/>
      <c r="AR91" s="543"/>
      <c r="AS91" s="543"/>
      <c r="AT91" s="543"/>
      <c r="AU91" s="543"/>
      <c r="AV91" s="543"/>
      <c r="AW91" s="543"/>
    </row>
    <row r="95" spans="1:49" x14ac:dyDescent="0.25">
      <c r="AO95" s="542" t="s">
        <v>30</v>
      </c>
    </row>
  </sheetData>
  <mergeCells count="71">
    <mergeCell ref="C59:C61"/>
    <mergeCell ref="D59:D61"/>
    <mergeCell ref="A44:A63"/>
    <mergeCell ref="B44:B63"/>
    <mergeCell ref="C50:C51"/>
    <mergeCell ref="D50:D51"/>
    <mergeCell ref="C52:C55"/>
    <mergeCell ref="C44:C46"/>
    <mergeCell ref="D44:D46"/>
    <mergeCell ref="D52:D55"/>
    <mergeCell ref="D56:D58"/>
    <mergeCell ref="C47:C49"/>
    <mergeCell ref="D47:D49"/>
    <mergeCell ref="C56:C58"/>
    <mergeCell ref="C76:C80"/>
    <mergeCell ref="D76:D80"/>
    <mergeCell ref="A65:AT65"/>
    <mergeCell ref="H66:H67"/>
    <mergeCell ref="D62:D63"/>
    <mergeCell ref="A66:A86"/>
    <mergeCell ref="B66:B86"/>
    <mergeCell ref="D66:D71"/>
    <mergeCell ref="C81:C86"/>
    <mergeCell ref="D81:D86"/>
    <mergeCell ref="C62:C63"/>
    <mergeCell ref="C64:F64"/>
    <mergeCell ref="C66:C75"/>
    <mergeCell ref="D72:D75"/>
    <mergeCell ref="B2:R2"/>
    <mergeCell ref="I3:L3"/>
    <mergeCell ref="M3:AD3"/>
    <mergeCell ref="AB4:AD6"/>
    <mergeCell ref="A3:F3"/>
    <mergeCell ref="G5:G7"/>
    <mergeCell ref="I4:L5"/>
    <mergeCell ref="M4:U5"/>
    <mergeCell ref="E4:F7"/>
    <mergeCell ref="A4:A7"/>
    <mergeCell ref="B4:B7"/>
    <mergeCell ref="C4:D7"/>
    <mergeCell ref="D10:D19"/>
    <mergeCell ref="C10:C19"/>
    <mergeCell ref="A9:AT9"/>
    <mergeCell ref="AN3:AN7"/>
    <mergeCell ref="AE5:AE7"/>
    <mergeCell ref="AM3:AM7"/>
    <mergeCell ref="AJ5:AL5"/>
    <mergeCell ref="AE3:AL4"/>
    <mergeCell ref="V4:AA4"/>
    <mergeCell ref="V5:X5"/>
    <mergeCell ref="Y5:AA5"/>
    <mergeCell ref="AO3:AT5"/>
    <mergeCell ref="AP6:AS6"/>
    <mergeCell ref="AF5:AF7"/>
    <mergeCell ref="AG5:AI5"/>
    <mergeCell ref="C20:C22"/>
    <mergeCell ref="A43:AT43"/>
    <mergeCell ref="C30:C31"/>
    <mergeCell ref="D23:D26"/>
    <mergeCell ref="D35:D37"/>
    <mergeCell ref="D38:D41"/>
    <mergeCell ref="C35:C37"/>
    <mergeCell ref="C38:C41"/>
    <mergeCell ref="C32:C33"/>
    <mergeCell ref="C23:C26"/>
    <mergeCell ref="G32:G33"/>
    <mergeCell ref="F25:F26"/>
    <mergeCell ref="D27:D29"/>
    <mergeCell ref="D30:D31"/>
    <mergeCell ref="D32:D33"/>
    <mergeCell ref="D20:D22"/>
  </mergeCells>
  <pageMargins left="0.7" right="0.7" top="0.75" bottom="0.75" header="0.3" footer="0.3"/>
  <pageSetup orientation="landscape" horizontalDpi="4294967293" verticalDpi="429496729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4"/>
  <sheetViews>
    <sheetView topLeftCell="A25" zoomScale="150" zoomScaleNormal="150" workbookViewId="0">
      <selection activeCell="G31" sqref="G31"/>
    </sheetView>
  </sheetViews>
  <sheetFormatPr defaultColWidth="9.140625" defaultRowHeight="11.25" x14ac:dyDescent="0.2"/>
  <cols>
    <col min="1" max="1" width="7.140625" style="23" customWidth="1"/>
    <col min="2" max="2" width="4.7109375" style="145" customWidth="1"/>
    <col min="3" max="3" width="25.28515625" style="34" customWidth="1"/>
    <col min="4" max="4" width="4.140625" style="40" customWidth="1"/>
    <col min="5" max="5" width="25.42578125" style="10" customWidth="1"/>
    <col min="6" max="6" width="18.42578125" style="10" customWidth="1"/>
    <col min="7" max="7" width="14.85546875" style="10" customWidth="1"/>
    <col min="8" max="8" width="10.42578125" style="41" customWidth="1"/>
    <col min="9" max="9" width="9.42578125" style="11" customWidth="1"/>
    <col min="10" max="10" width="7.28515625" style="11" customWidth="1"/>
    <col min="11" max="11" width="13.85546875" style="41" customWidth="1"/>
    <col min="12" max="12" width="10" style="1" customWidth="1"/>
    <col min="13" max="13" width="11.42578125" style="1" customWidth="1"/>
    <col min="14" max="14" width="10.85546875" style="1" customWidth="1"/>
    <col min="15" max="15" width="11.85546875" style="1" customWidth="1"/>
    <col min="16" max="16" width="14.28515625" style="1" customWidth="1"/>
    <col min="17" max="17" width="12.85546875" style="1" customWidth="1"/>
    <col min="18" max="19" width="11.42578125" style="1" customWidth="1"/>
    <col min="20" max="20" width="10.7109375" style="36" customWidth="1"/>
    <col min="21" max="21" width="9.85546875" style="36" customWidth="1"/>
    <col min="22" max="22" width="9" style="36" customWidth="1"/>
    <col min="23" max="23" width="12.42578125" style="36" customWidth="1"/>
    <col min="24" max="24" width="8.85546875" style="35" customWidth="1"/>
    <col min="25" max="25" width="9.140625" style="35" customWidth="1"/>
    <col min="26" max="26" width="12.7109375" style="35" customWidth="1"/>
    <col min="27" max="27" width="10.42578125" style="35" customWidth="1"/>
    <col min="28" max="28" width="10.28515625" style="35" customWidth="1"/>
    <col min="29" max="29" width="12.42578125" style="35" customWidth="1"/>
    <col min="30" max="30" width="15.28515625" style="35" customWidth="1"/>
    <col min="31" max="31" width="12.42578125" style="35" customWidth="1"/>
    <col min="32" max="32" width="7.28515625" style="35" customWidth="1"/>
    <col min="33" max="33" width="13.140625" style="35" customWidth="1"/>
    <col min="34" max="34" width="12" style="35" customWidth="1"/>
    <col min="35" max="35" width="6.85546875" style="35" customWidth="1"/>
    <col min="36" max="36" width="11" style="35" customWidth="1"/>
    <col min="37" max="37" width="10.7109375" style="35" customWidth="1"/>
    <col min="38" max="38" width="14" style="60" customWidth="1"/>
    <col min="39" max="39" width="15.140625" style="35" customWidth="1"/>
    <col min="40" max="40" width="16.28515625" style="35" customWidth="1"/>
    <col min="41" max="42" width="14.42578125" style="35" customWidth="1"/>
    <col min="43" max="43" width="13" style="355" customWidth="1"/>
    <col min="44" max="44" width="13" style="35" customWidth="1"/>
    <col min="45" max="45" width="14.85546875" style="38" customWidth="1"/>
    <col min="46" max="46" width="2.42578125" style="3" hidden="1" customWidth="1"/>
    <col min="47" max="47" width="10.7109375" style="35" hidden="1" customWidth="1"/>
    <col min="48" max="48" width="10.140625" style="35" hidden="1" customWidth="1"/>
    <col min="49" max="49" width="11.28515625" style="35" hidden="1" customWidth="1"/>
    <col min="50" max="50" width="12.28515625" style="3" hidden="1" customWidth="1"/>
    <col min="51" max="16384" width="9.140625" style="3"/>
  </cols>
  <sheetData>
    <row r="1" spans="1:51" s="45" customFormat="1" x14ac:dyDescent="0.2">
      <c r="A1" s="55"/>
      <c r="B1" s="127"/>
      <c r="C1" s="25"/>
      <c r="D1" s="46"/>
      <c r="E1" s="47"/>
      <c r="F1" s="47"/>
      <c r="G1" s="47"/>
      <c r="H1" s="48"/>
      <c r="I1" s="49"/>
      <c r="J1" s="49"/>
      <c r="K1" s="48"/>
      <c r="L1" s="50"/>
      <c r="M1" s="50"/>
      <c r="N1" s="50"/>
      <c r="O1" s="50"/>
      <c r="P1" s="50"/>
      <c r="Q1" s="50"/>
      <c r="R1" s="50"/>
      <c r="S1" s="50"/>
      <c r="T1" s="51"/>
      <c r="U1" s="51"/>
      <c r="V1" s="51"/>
      <c r="W1" s="51"/>
      <c r="X1" s="52"/>
      <c r="Y1" s="52"/>
      <c r="Z1" s="52"/>
      <c r="AA1" s="52"/>
      <c r="AB1" s="52"/>
      <c r="AC1" s="52"/>
      <c r="AD1" s="52"/>
      <c r="AE1" s="52"/>
      <c r="AF1" s="52"/>
      <c r="AG1" s="52"/>
      <c r="AH1" s="52"/>
      <c r="AI1" s="52"/>
      <c r="AJ1" s="52"/>
      <c r="AK1" s="52"/>
      <c r="AL1" s="59"/>
      <c r="AM1" s="52"/>
      <c r="AN1" s="52"/>
      <c r="AO1" s="52"/>
      <c r="AP1" s="52"/>
      <c r="AQ1" s="354"/>
      <c r="AR1" s="52"/>
      <c r="AS1" s="53"/>
      <c r="AU1" s="52"/>
      <c r="AV1" s="52"/>
      <c r="AW1" s="52"/>
    </row>
    <row r="2" spans="1:51" s="45" customFormat="1" ht="13.5" thickBot="1" x14ac:dyDescent="0.25">
      <c r="A2" s="56"/>
      <c r="B2" s="1146"/>
      <c r="C2" s="1146"/>
      <c r="D2" s="1146"/>
      <c r="E2" s="1146"/>
      <c r="F2" s="1146"/>
      <c r="G2" s="1146"/>
      <c r="H2" s="1146"/>
      <c r="I2" s="1146"/>
      <c r="J2" s="1146"/>
      <c r="K2" s="1146"/>
      <c r="L2" s="1146"/>
      <c r="M2" s="1146"/>
      <c r="N2" s="1146"/>
      <c r="O2" s="1146"/>
      <c r="P2" s="1146"/>
      <c r="Q2" s="1146"/>
      <c r="R2" s="54"/>
      <c r="S2" s="54"/>
      <c r="T2" s="54"/>
      <c r="U2" s="54"/>
      <c r="V2" s="54"/>
      <c r="W2" s="54"/>
      <c r="X2" s="54"/>
      <c r="Y2" s="54"/>
      <c r="Z2" s="54"/>
      <c r="AA2" s="54"/>
      <c r="AB2" s="54"/>
      <c r="AC2" s="54"/>
      <c r="AD2" s="54"/>
      <c r="AE2" s="54"/>
      <c r="AF2" s="54"/>
      <c r="AG2" s="54"/>
      <c r="AH2" s="54"/>
      <c r="AI2" s="54"/>
      <c r="AJ2" s="54"/>
      <c r="AK2" s="54"/>
      <c r="AL2" s="54"/>
      <c r="AM2" s="52"/>
      <c r="AN2" s="52"/>
      <c r="AO2" s="52"/>
      <c r="AP2" s="52"/>
      <c r="AQ2" s="354"/>
      <c r="AR2" s="52"/>
      <c r="AS2" s="53"/>
      <c r="AU2" s="52"/>
      <c r="AV2" s="52"/>
      <c r="AW2" s="52"/>
    </row>
    <row r="3" spans="1:51" s="15" customFormat="1" ht="23.1" customHeight="1" x14ac:dyDescent="0.15">
      <c r="A3" s="1147"/>
      <c r="B3" s="1148"/>
      <c r="C3" s="1148"/>
      <c r="D3" s="1148"/>
      <c r="E3" s="1149"/>
      <c r="F3" s="726"/>
      <c r="G3" s="647"/>
      <c r="H3" s="1050" t="s">
        <v>294</v>
      </c>
      <c r="I3" s="1051"/>
      <c r="J3" s="1051"/>
      <c r="K3" s="1052"/>
      <c r="L3" s="1109" t="s">
        <v>425</v>
      </c>
      <c r="M3" s="1109"/>
      <c r="N3" s="1109"/>
      <c r="O3" s="1109"/>
      <c r="P3" s="1109"/>
      <c r="Q3" s="1109"/>
      <c r="R3" s="1109"/>
      <c r="S3" s="1109"/>
      <c r="T3" s="1109"/>
      <c r="U3" s="1109"/>
      <c r="V3" s="1109"/>
      <c r="W3" s="1109"/>
      <c r="X3" s="1109"/>
      <c r="Y3" s="1109"/>
      <c r="Z3" s="1109"/>
      <c r="AA3" s="1109"/>
      <c r="AB3" s="1109"/>
      <c r="AC3" s="1109"/>
      <c r="AD3" s="1099" t="s">
        <v>313</v>
      </c>
      <c r="AE3" s="1100"/>
      <c r="AF3" s="1100"/>
      <c r="AG3" s="1100"/>
      <c r="AH3" s="1100"/>
      <c r="AI3" s="1100"/>
      <c r="AJ3" s="1100"/>
      <c r="AK3" s="1101"/>
      <c r="AL3" s="1095" t="s">
        <v>372</v>
      </c>
      <c r="AM3" s="1095" t="s">
        <v>427</v>
      </c>
      <c r="AN3" s="1099" t="s">
        <v>321</v>
      </c>
      <c r="AO3" s="1100"/>
      <c r="AP3" s="1100"/>
      <c r="AQ3" s="1100"/>
      <c r="AR3" s="1100"/>
      <c r="AS3" s="1101"/>
      <c r="AU3" s="1153" t="s">
        <v>9</v>
      </c>
      <c r="AV3" s="1154"/>
      <c r="AW3" s="1154"/>
      <c r="AX3" s="1155"/>
    </row>
    <row r="4" spans="1:51" s="5" customFormat="1" ht="11.25" customHeight="1" x14ac:dyDescent="0.15">
      <c r="A4" s="1150" t="s">
        <v>367</v>
      </c>
      <c r="B4" s="1162" t="s">
        <v>214</v>
      </c>
      <c r="C4" s="1163"/>
      <c r="D4" s="1162" t="s">
        <v>501</v>
      </c>
      <c r="E4" s="1163"/>
      <c r="F4" s="727"/>
      <c r="G4" s="648"/>
      <c r="H4" s="1112" t="s">
        <v>295</v>
      </c>
      <c r="I4" s="1113"/>
      <c r="J4" s="1113"/>
      <c r="K4" s="1114"/>
      <c r="L4" s="1001" t="s">
        <v>269</v>
      </c>
      <c r="M4" s="1118"/>
      <c r="N4" s="1118"/>
      <c r="O4" s="1118"/>
      <c r="P4" s="1118"/>
      <c r="Q4" s="1118"/>
      <c r="R4" s="1118"/>
      <c r="S4" s="1118"/>
      <c r="T4" s="1002"/>
      <c r="U4" s="1096" t="s">
        <v>305</v>
      </c>
      <c r="V4" s="1097"/>
      <c r="W4" s="1097"/>
      <c r="X4" s="1097"/>
      <c r="Y4" s="1097"/>
      <c r="Z4" s="1098"/>
      <c r="AA4" s="1099" t="s">
        <v>271</v>
      </c>
      <c r="AB4" s="1100"/>
      <c r="AC4" s="1101"/>
      <c r="AD4" s="1102"/>
      <c r="AE4" s="1103"/>
      <c r="AF4" s="1103"/>
      <c r="AG4" s="1103"/>
      <c r="AH4" s="1103"/>
      <c r="AI4" s="1103"/>
      <c r="AJ4" s="1103"/>
      <c r="AK4" s="1104"/>
      <c r="AL4" s="1095"/>
      <c r="AM4" s="1095"/>
      <c r="AN4" s="1105"/>
      <c r="AO4" s="1106"/>
      <c r="AP4" s="1106"/>
      <c r="AQ4" s="1106"/>
      <c r="AR4" s="1106"/>
      <c r="AS4" s="1107"/>
      <c r="AU4" s="1156"/>
      <c r="AV4" s="1157"/>
      <c r="AW4" s="1157"/>
      <c r="AX4" s="1158"/>
    </row>
    <row r="5" spans="1:51" s="5" customFormat="1" ht="11.25" customHeight="1" x14ac:dyDescent="0.2">
      <c r="A5" s="1151"/>
      <c r="B5" s="1164"/>
      <c r="C5" s="1165"/>
      <c r="D5" s="1164"/>
      <c r="E5" s="1165"/>
      <c r="F5" s="728"/>
      <c r="G5" s="1110" t="s">
        <v>293</v>
      </c>
      <c r="H5" s="1115"/>
      <c r="I5" s="1116"/>
      <c r="J5" s="1116"/>
      <c r="K5" s="1117"/>
      <c r="L5" s="1005"/>
      <c r="M5" s="1119"/>
      <c r="N5" s="1119"/>
      <c r="O5" s="1119"/>
      <c r="P5" s="1119"/>
      <c r="Q5" s="1119"/>
      <c r="R5" s="1119"/>
      <c r="S5" s="1119"/>
      <c r="T5" s="1006"/>
      <c r="U5" s="1096" t="s">
        <v>306</v>
      </c>
      <c r="V5" s="1097"/>
      <c r="W5" s="1098"/>
      <c r="X5" s="1096" t="s">
        <v>307</v>
      </c>
      <c r="Y5" s="1097"/>
      <c r="Z5" s="1098"/>
      <c r="AA5" s="1105"/>
      <c r="AB5" s="1106"/>
      <c r="AC5" s="1107"/>
      <c r="AD5" s="1095" t="s">
        <v>272</v>
      </c>
      <c r="AE5" s="1095" t="s">
        <v>314</v>
      </c>
      <c r="AF5" s="1096" t="s">
        <v>274</v>
      </c>
      <c r="AG5" s="1097"/>
      <c r="AH5" s="1098"/>
      <c r="AI5" s="1168" t="s">
        <v>215</v>
      </c>
      <c r="AJ5" s="1169"/>
      <c r="AK5" s="1170"/>
      <c r="AL5" s="1095"/>
      <c r="AM5" s="1095"/>
      <c r="AN5" s="1102"/>
      <c r="AO5" s="1103"/>
      <c r="AP5" s="1103"/>
      <c r="AQ5" s="1103"/>
      <c r="AR5" s="1103"/>
      <c r="AS5" s="1104"/>
      <c r="AU5" s="1159"/>
      <c r="AV5" s="1160"/>
      <c r="AW5" s="1160"/>
      <c r="AX5" s="1161"/>
    </row>
    <row r="6" spans="1:51" s="5" customFormat="1" ht="11.1" customHeight="1" x14ac:dyDescent="0.2">
      <c r="A6" s="1151"/>
      <c r="B6" s="1164"/>
      <c r="C6" s="1165"/>
      <c r="D6" s="1164"/>
      <c r="E6" s="1165"/>
      <c r="F6" s="728"/>
      <c r="G6" s="1110"/>
      <c r="H6" s="754"/>
      <c r="I6" s="755"/>
      <c r="J6" s="755"/>
      <c r="K6" s="756"/>
      <c r="L6" s="752"/>
      <c r="M6" s="761"/>
      <c r="N6" s="761"/>
      <c r="O6" s="761"/>
      <c r="P6" s="761"/>
      <c r="Q6" s="761"/>
      <c r="R6" s="761"/>
      <c r="S6" s="761"/>
      <c r="T6" s="753"/>
      <c r="U6" s="757"/>
      <c r="V6" s="758"/>
      <c r="W6" s="759"/>
      <c r="X6" s="757"/>
      <c r="Y6" s="758"/>
      <c r="Z6" s="759"/>
      <c r="AA6" s="1102"/>
      <c r="AB6" s="1103"/>
      <c r="AC6" s="1104"/>
      <c r="AD6" s="1095"/>
      <c r="AE6" s="1095"/>
      <c r="AF6" s="729"/>
      <c r="AG6" s="730"/>
      <c r="AH6" s="731"/>
      <c r="AI6" s="729"/>
      <c r="AJ6" s="730"/>
      <c r="AK6" s="731"/>
      <c r="AL6" s="1095"/>
      <c r="AM6" s="1095"/>
      <c r="AN6" s="798"/>
      <c r="AO6" s="1095" t="s">
        <v>428</v>
      </c>
      <c r="AP6" s="1095"/>
      <c r="AQ6" s="1095"/>
      <c r="AR6" s="1095"/>
      <c r="AS6" s="798"/>
      <c r="AU6" s="347"/>
      <c r="AV6" s="348"/>
      <c r="AW6" s="348"/>
      <c r="AX6" s="349"/>
    </row>
    <row r="7" spans="1:51" s="4" customFormat="1" ht="63" customHeight="1" x14ac:dyDescent="0.15">
      <c r="A7" s="1152"/>
      <c r="B7" s="1166"/>
      <c r="C7" s="1167"/>
      <c r="D7" s="1166"/>
      <c r="E7" s="1167"/>
      <c r="F7" s="760" t="s">
        <v>502</v>
      </c>
      <c r="G7" s="1111"/>
      <c r="H7" s="798" t="s">
        <v>369</v>
      </c>
      <c r="I7" s="797" t="s">
        <v>296</v>
      </c>
      <c r="J7" s="797" t="s">
        <v>297</v>
      </c>
      <c r="K7" s="797" t="s">
        <v>298</v>
      </c>
      <c r="L7" s="797" t="s">
        <v>299</v>
      </c>
      <c r="M7" s="797" t="s">
        <v>300</v>
      </c>
      <c r="N7" s="797" t="s">
        <v>301</v>
      </c>
      <c r="O7" s="797" t="s">
        <v>302</v>
      </c>
      <c r="P7" s="797" t="s">
        <v>303</v>
      </c>
      <c r="Q7" s="797" t="s">
        <v>304</v>
      </c>
      <c r="R7" s="797" t="s">
        <v>370</v>
      </c>
      <c r="S7" s="797" t="s">
        <v>371</v>
      </c>
      <c r="T7" s="638" t="s">
        <v>0</v>
      </c>
      <c r="U7" s="797" t="s">
        <v>309</v>
      </c>
      <c r="V7" s="798" t="s">
        <v>310</v>
      </c>
      <c r="W7" s="798" t="s">
        <v>1</v>
      </c>
      <c r="X7" s="797" t="s">
        <v>309</v>
      </c>
      <c r="Y7" s="798" t="s">
        <v>310</v>
      </c>
      <c r="Z7" s="798" t="s">
        <v>0</v>
      </c>
      <c r="AA7" s="798" t="s">
        <v>311</v>
      </c>
      <c r="AB7" s="798" t="s">
        <v>312</v>
      </c>
      <c r="AC7" s="798" t="s">
        <v>0</v>
      </c>
      <c r="AD7" s="1095"/>
      <c r="AE7" s="1095"/>
      <c r="AF7" s="798" t="s">
        <v>315</v>
      </c>
      <c r="AG7" s="798" t="s">
        <v>316</v>
      </c>
      <c r="AH7" s="798" t="s">
        <v>298</v>
      </c>
      <c r="AI7" s="798" t="s">
        <v>317</v>
      </c>
      <c r="AJ7" s="798" t="s">
        <v>316</v>
      </c>
      <c r="AK7" s="798" t="s">
        <v>298</v>
      </c>
      <c r="AL7" s="1095"/>
      <c r="AM7" s="1095"/>
      <c r="AN7" s="800" t="s">
        <v>286</v>
      </c>
      <c r="AO7" s="798" t="s">
        <v>287</v>
      </c>
      <c r="AP7" s="798" t="s">
        <v>429</v>
      </c>
      <c r="AQ7" s="798" t="s">
        <v>288</v>
      </c>
      <c r="AR7" s="798" t="s">
        <v>257</v>
      </c>
      <c r="AS7" s="798" t="s">
        <v>260</v>
      </c>
      <c r="AU7" s="162" t="s">
        <v>10</v>
      </c>
      <c r="AV7" s="163" t="s">
        <v>11</v>
      </c>
      <c r="AW7" s="164" t="s">
        <v>12</v>
      </c>
      <c r="AX7" s="164" t="s">
        <v>13</v>
      </c>
    </row>
    <row r="8" spans="1:51" s="12" customFormat="1" ht="12" customHeight="1" x14ac:dyDescent="0.2">
      <c r="A8" s="346" t="s">
        <v>3</v>
      </c>
      <c r="B8" s="350" t="s">
        <v>5</v>
      </c>
      <c r="C8" s="26" t="s">
        <v>6</v>
      </c>
      <c r="D8" s="43" t="s">
        <v>7</v>
      </c>
      <c r="E8" s="44" t="s">
        <v>8</v>
      </c>
      <c r="F8" s="44"/>
      <c r="G8" s="165"/>
      <c r="H8" s="16">
        <v>1</v>
      </c>
      <c r="I8" s="16">
        <v>2</v>
      </c>
      <c r="J8" s="16">
        <v>3</v>
      </c>
      <c r="K8" s="16">
        <v>4</v>
      </c>
      <c r="L8" s="16">
        <v>5</v>
      </c>
      <c r="M8" s="16">
        <v>6</v>
      </c>
      <c r="N8" s="16">
        <v>7</v>
      </c>
      <c r="O8" s="16">
        <v>8</v>
      </c>
      <c r="P8" s="16">
        <v>9</v>
      </c>
      <c r="Q8" s="16">
        <v>10</v>
      </c>
      <c r="R8" s="16">
        <v>11</v>
      </c>
      <c r="S8" s="16">
        <v>12</v>
      </c>
      <c r="T8" s="16">
        <v>13</v>
      </c>
      <c r="U8" s="16">
        <v>14</v>
      </c>
      <c r="V8" s="16">
        <v>15</v>
      </c>
      <c r="W8" s="16">
        <v>16</v>
      </c>
      <c r="X8" s="16">
        <v>17</v>
      </c>
      <c r="Y8" s="16">
        <v>18</v>
      </c>
      <c r="Z8" s="16">
        <v>19</v>
      </c>
      <c r="AA8" s="16">
        <v>20</v>
      </c>
      <c r="AB8" s="16">
        <v>21</v>
      </c>
      <c r="AC8" s="16">
        <v>22</v>
      </c>
      <c r="AD8" s="16">
        <v>23</v>
      </c>
      <c r="AE8" s="16">
        <v>24</v>
      </c>
      <c r="AF8" s="16">
        <v>25</v>
      </c>
      <c r="AG8" s="16">
        <v>26</v>
      </c>
      <c r="AH8" s="16">
        <v>27</v>
      </c>
      <c r="AI8" s="16">
        <v>28</v>
      </c>
      <c r="AJ8" s="16">
        <v>29</v>
      </c>
      <c r="AK8" s="16">
        <v>30</v>
      </c>
      <c r="AL8" s="16">
        <v>31</v>
      </c>
      <c r="AM8" s="16">
        <v>32</v>
      </c>
      <c r="AN8" s="16">
        <v>33</v>
      </c>
      <c r="AO8" s="16">
        <v>34</v>
      </c>
      <c r="AP8" s="16">
        <v>35</v>
      </c>
      <c r="AQ8" s="16">
        <v>36</v>
      </c>
      <c r="AR8" s="16">
        <v>37</v>
      </c>
      <c r="AS8" s="16">
        <v>38</v>
      </c>
      <c r="AU8" s="20">
        <v>47</v>
      </c>
      <c r="AV8" s="20">
        <v>48</v>
      </c>
      <c r="AW8" s="21">
        <v>49</v>
      </c>
      <c r="AX8" s="21">
        <v>50</v>
      </c>
    </row>
    <row r="9" spans="1:51" s="12" customFormat="1" ht="17.25" customHeight="1" thickBot="1" x14ac:dyDescent="0.3">
      <c r="A9" s="1142" t="s">
        <v>503</v>
      </c>
      <c r="B9" s="1142"/>
      <c r="C9" s="1142"/>
      <c r="D9" s="1142"/>
      <c r="E9" s="1142"/>
      <c r="F9" s="1142"/>
      <c r="G9" s="1142"/>
      <c r="H9" s="1142"/>
      <c r="I9" s="1142"/>
      <c r="J9" s="1142"/>
      <c r="K9" s="1142"/>
      <c r="L9" s="1142"/>
      <c r="M9" s="1142"/>
      <c r="N9" s="1142"/>
      <c r="O9" s="1142"/>
      <c r="P9" s="1142"/>
      <c r="Q9" s="1142"/>
      <c r="R9" s="1142"/>
      <c r="S9" s="1142"/>
      <c r="T9" s="1142"/>
      <c r="U9" s="1142"/>
      <c r="V9" s="1142"/>
      <c r="W9" s="1142"/>
      <c r="X9" s="1142"/>
      <c r="Y9" s="1142"/>
      <c r="Z9" s="1142"/>
      <c r="AA9" s="1142"/>
      <c r="AB9" s="1142"/>
      <c r="AC9" s="1142"/>
      <c r="AD9" s="1142"/>
      <c r="AE9" s="1142"/>
      <c r="AF9" s="1142"/>
      <c r="AG9" s="1142"/>
      <c r="AH9" s="1142"/>
      <c r="AI9" s="1142"/>
      <c r="AJ9" s="1142"/>
      <c r="AK9" s="1142"/>
      <c r="AL9" s="1142"/>
      <c r="AM9" s="1142"/>
      <c r="AN9" s="1142"/>
      <c r="AO9" s="1142"/>
      <c r="AP9" s="1142"/>
      <c r="AQ9" s="1142"/>
      <c r="AR9" s="1142"/>
      <c r="AS9" s="1143"/>
      <c r="AT9" s="157"/>
      <c r="AU9" s="20"/>
      <c r="AV9" s="16"/>
      <c r="AW9" s="21"/>
      <c r="AX9" s="21"/>
    </row>
    <row r="10" spans="1:51" s="6" customFormat="1" ht="26.25" thickBot="1" x14ac:dyDescent="0.25">
      <c r="A10" s="161"/>
      <c r="B10" s="1144">
        <v>5.0999999999999996</v>
      </c>
      <c r="C10" s="1136" t="s">
        <v>504</v>
      </c>
      <c r="D10" s="28"/>
      <c r="E10" s="28" t="s">
        <v>505</v>
      </c>
      <c r="F10" s="28">
        <v>5.0999999999999996</v>
      </c>
      <c r="G10" s="28"/>
      <c r="H10" s="142"/>
      <c r="I10" s="175"/>
      <c r="J10" s="175"/>
      <c r="K10" s="167">
        <f>H10*I10*J10</f>
        <v>0</v>
      </c>
      <c r="L10" s="160"/>
      <c r="M10" s="180"/>
      <c r="N10" s="180"/>
      <c r="O10" s="180"/>
      <c r="P10" s="180"/>
      <c r="Q10" s="180"/>
      <c r="R10" s="180"/>
      <c r="S10" s="180"/>
      <c r="T10" s="68">
        <f>(L10*M10*O10)+(L10*M10*N10*P10)+(L10*M10*N10*Q10)+(L10*N10*R10)+(L10*M10*S10)</f>
        <v>0</v>
      </c>
      <c r="U10" s="176"/>
      <c r="V10" s="176"/>
      <c r="W10" s="58">
        <f>U10*V10</f>
        <v>0</v>
      </c>
      <c r="X10" s="176"/>
      <c r="Y10" s="176"/>
      <c r="Z10" s="58">
        <v>286960</v>
      </c>
      <c r="AA10" s="177"/>
      <c r="AB10" s="181"/>
      <c r="AC10" s="58">
        <f>AA10*AB10</f>
        <v>0</v>
      </c>
      <c r="AD10" s="178"/>
      <c r="AE10" s="178"/>
      <c r="AF10" s="640"/>
      <c r="AG10" s="640"/>
      <c r="AH10" s="58"/>
      <c r="AI10" s="640"/>
      <c r="AJ10" s="640"/>
      <c r="AK10" s="58"/>
      <c r="AL10" s="178"/>
      <c r="AM10" s="58">
        <f>K10+T10+W10+Z10+AC10+AH10+AK10+AL10+AD10+AE10</f>
        <v>286960</v>
      </c>
      <c r="AN10" s="74"/>
      <c r="AO10" s="97"/>
      <c r="AP10" s="74"/>
      <c r="AQ10" s="179"/>
      <c r="AR10" s="179">
        <f>AM10</f>
        <v>286960</v>
      </c>
      <c r="AS10" s="169">
        <f>AM10-AN10-AO10-AP10-AQ10-AR10</f>
        <v>0</v>
      </c>
      <c r="AU10" s="358">
        <f>AM10*1</f>
        <v>286960</v>
      </c>
      <c r="AV10" s="358"/>
      <c r="AW10" s="358"/>
      <c r="AX10" s="358"/>
      <c r="AY10" s="359"/>
    </row>
    <row r="11" spans="1:51" s="6" customFormat="1" ht="39" thickBot="1" x14ac:dyDescent="0.25">
      <c r="A11" s="161"/>
      <c r="B11" s="1144"/>
      <c r="C11" s="1136"/>
      <c r="D11" s="17"/>
      <c r="E11" s="29" t="s">
        <v>506</v>
      </c>
      <c r="F11" s="29">
        <v>5.0999999999999996</v>
      </c>
      <c r="G11" s="28"/>
      <c r="H11" s="182">
        <v>81</v>
      </c>
      <c r="I11" s="175">
        <v>680</v>
      </c>
      <c r="J11" s="175">
        <v>24</v>
      </c>
      <c r="K11" s="167">
        <f>I11*J11*H11</f>
        <v>1321920</v>
      </c>
      <c r="L11" s="160"/>
      <c r="M11" s="339"/>
      <c r="N11" s="180"/>
      <c r="O11" s="180"/>
      <c r="P11" s="180"/>
      <c r="Q11" s="180"/>
      <c r="R11" s="180"/>
      <c r="S11" s="180"/>
      <c r="T11" s="68">
        <f t="shared" ref="T11:T34" si="0">(L11*M11*O11)+(L11*M11*N11*P11)+(L11*M11*N11*Q11)+(L11*N11*R11)+(L11*M11*S11)</f>
        <v>0</v>
      </c>
      <c r="U11" s="176"/>
      <c r="V11" s="176"/>
      <c r="W11" s="58">
        <f t="shared" ref="W11:W34" si="1">U11*V11</f>
        <v>0</v>
      </c>
      <c r="X11" s="176"/>
      <c r="Y11" s="176"/>
      <c r="Z11" s="58">
        <f>121536</f>
        <v>121536</v>
      </c>
      <c r="AA11" s="177"/>
      <c r="AB11" s="177"/>
      <c r="AC11" s="58">
        <v>136728</v>
      </c>
      <c r="AD11" s="178">
        <v>282740</v>
      </c>
      <c r="AE11" s="178">
        <v>317015</v>
      </c>
      <c r="AF11" s="640"/>
      <c r="AG11" s="640"/>
      <c r="AH11" s="58">
        <v>131487</v>
      </c>
      <c r="AI11" s="640"/>
      <c r="AJ11" s="640"/>
      <c r="AK11" s="58">
        <f>(30000*0.844)*2</f>
        <v>50640</v>
      </c>
      <c r="AL11" s="178">
        <f>33760+716850+40934</f>
        <v>791544</v>
      </c>
      <c r="AM11" s="58">
        <f>K11+T11+W11+Z11+AC11+AH11+AK11+AL11+AD11+AE11</f>
        <v>3153610</v>
      </c>
      <c r="AN11" s="183">
        <f>K11+716850</f>
        <v>2038770</v>
      </c>
      <c r="AO11" s="361"/>
      <c r="AP11" s="362"/>
      <c r="AQ11" s="97">
        <v>485722</v>
      </c>
      <c r="AR11" s="179">
        <v>629118</v>
      </c>
      <c r="AS11" s="169">
        <f t="shared" ref="AS11:AS34" si="2">AM11-AN11-AO11-AP11-AQ11-AR11</f>
        <v>0</v>
      </c>
      <c r="AU11" s="358">
        <f>K11/2+341357+Z11+AD11+AE11+AH11+AK11</f>
        <v>1905735</v>
      </c>
      <c r="AV11" s="358">
        <f>AM11-AU11</f>
        <v>1247875</v>
      </c>
      <c r="AW11" s="358">
        <v>0.3</v>
      </c>
      <c r="AX11" s="358"/>
      <c r="AY11" s="359"/>
    </row>
    <row r="12" spans="1:51" s="7" customFormat="1" ht="38.25" customHeight="1" thickBot="1" x14ac:dyDescent="0.25">
      <c r="A12" s="161"/>
      <c r="B12" s="1145"/>
      <c r="C12" s="1137"/>
      <c r="D12" s="28"/>
      <c r="E12" s="30" t="s">
        <v>507</v>
      </c>
      <c r="F12" s="30">
        <v>5.0999999999999996</v>
      </c>
      <c r="G12" s="30"/>
      <c r="H12" s="182">
        <v>271</v>
      </c>
      <c r="I12" s="175">
        <v>650</v>
      </c>
      <c r="J12" s="175">
        <v>12</v>
      </c>
      <c r="K12" s="167">
        <f t="shared" ref="K12:K34" si="3">I12*J12*H12</f>
        <v>2113800</v>
      </c>
      <c r="L12" s="137"/>
      <c r="M12" s="138"/>
      <c r="N12" s="77"/>
      <c r="O12" s="77"/>
      <c r="P12" s="77"/>
      <c r="Q12" s="77"/>
      <c r="R12" s="77"/>
      <c r="S12" s="77"/>
      <c r="T12" s="68">
        <f t="shared" si="0"/>
        <v>0</v>
      </c>
      <c r="U12" s="77"/>
      <c r="V12" s="77"/>
      <c r="W12" s="58">
        <f t="shared" si="1"/>
        <v>0</v>
      </c>
      <c r="X12" s="77"/>
      <c r="Y12" s="77"/>
      <c r="Z12" s="58">
        <f>X12*Y12</f>
        <v>0</v>
      </c>
      <c r="AA12" s="78"/>
      <c r="AB12" s="78"/>
      <c r="AC12" s="58">
        <f t="shared" ref="AC12:AC34" si="4">AA12*AB12</f>
        <v>0</v>
      </c>
      <c r="AD12" s="643">
        <f>18000000</f>
        <v>18000000</v>
      </c>
      <c r="AE12" s="79"/>
      <c r="AF12" s="641"/>
      <c r="AG12" s="641"/>
      <c r="AH12" s="58">
        <f>AF12*AG12</f>
        <v>0</v>
      </c>
      <c r="AI12" s="641"/>
      <c r="AJ12" s="641"/>
      <c r="AK12" s="58">
        <f>AI12*AJ12</f>
        <v>0</v>
      </c>
      <c r="AL12" s="185">
        <v>2250800</v>
      </c>
      <c r="AM12" s="58">
        <f t="shared" ref="AM12:AM34" si="5">K12+T12+W12+Z12+AC12+AH12+AK12+AL12+AD12+AE12</f>
        <v>22364600</v>
      </c>
      <c r="AN12" s="186">
        <f>K12+3000000+AL12</f>
        <v>7364600</v>
      </c>
      <c r="AO12" s="186"/>
      <c r="AP12" s="363"/>
      <c r="AQ12" s="186">
        <f>AM12-AN12</f>
        <v>15000000</v>
      </c>
      <c r="AR12" s="187"/>
      <c r="AS12" s="169">
        <f t="shared" si="2"/>
        <v>0</v>
      </c>
      <c r="AU12" s="358">
        <f>AD12*0.02</f>
        <v>360000</v>
      </c>
      <c r="AV12" s="358">
        <f>AD12*0.58</f>
        <v>10440000</v>
      </c>
      <c r="AW12" s="358">
        <f>AL12+K12+AD12*0.4</f>
        <v>11564600</v>
      </c>
      <c r="AX12" s="358"/>
      <c r="AY12" s="359"/>
    </row>
    <row r="13" spans="1:51" s="7" customFormat="1" ht="76.349999999999994" customHeight="1" thickBot="1" x14ac:dyDescent="0.25">
      <c r="A13" s="661"/>
      <c r="B13" s="807">
        <v>5.2</v>
      </c>
      <c r="C13" s="30" t="s">
        <v>652</v>
      </c>
      <c r="D13" s="671"/>
      <c r="E13" s="30" t="s">
        <v>508</v>
      </c>
      <c r="F13" s="30" t="s">
        <v>508</v>
      </c>
      <c r="G13" s="28"/>
      <c r="H13" s="182"/>
      <c r="I13" s="175"/>
      <c r="J13" s="175"/>
      <c r="K13" s="167"/>
      <c r="L13" s="160"/>
      <c r="M13" s="180"/>
      <c r="N13" s="662"/>
      <c r="O13" s="662"/>
      <c r="P13" s="662"/>
      <c r="Q13" s="662"/>
      <c r="R13" s="662"/>
      <c r="S13" s="662"/>
      <c r="T13" s="86"/>
      <c r="U13" s="662"/>
      <c r="V13" s="662"/>
      <c r="W13" s="58"/>
      <c r="X13" s="662"/>
      <c r="Y13" s="662"/>
      <c r="Z13" s="58"/>
      <c r="AA13" s="663"/>
      <c r="AB13" s="663"/>
      <c r="AC13" s="58"/>
      <c r="AD13" s="664"/>
      <c r="AE13" s="665"/>
      <c r="AF13" s="666"/>
      <c r="AG13" s="666"/>
      <c r="AH13" s="58"/>
      <c r="AI13" s="666"/>
      <c r="AJ13" s="666"/>
      <c r="AK13" s="58"/>
      <c r="AL13" s="667"/>
      <c r="AM13" s="58"/>
      <c r="AN13" s="668" t="s">
        <v>30</v>
      </c>
      <c r="AO13" s="668"/>
      <c r="AP13" s="363"/>
      <c r="AQ13" s="668"/>
      <c r="AR13" s="187"/>
      <c r="AS13" s="669"/>
      <c r="AU13" s="670"/>
      <c r="AV13" s="670"/>
      <c r="AW13" s="670"/>
      <c r="AX13" s="670"/>
      <c r="AY13" s="359"/>
    </row>
    <row r="14" spans="1:51" s="150" customFormat="1" ht="18" customHeight="1" x14ac:dyDescent="0.2">
      <c r="A14" s="456"/>
      <c r="B14" s="456"/>
      <c r="C14" s="457"/>
      <c r="D14" s="456"/>
      <c r="E14" s="457"/>
      <c r="F14" s="456"/>
      <c r="G14" s="458"/>
      <c r="H14" s="459"/>
      <c r="I14" s="459"/>
      <c r="J14" s="459"/>
      <c r="K14" s="451">
        <f t="shared" ref="K14:AX14" si="6">SUM(K10:K12)</f>
        <v>3435720</v>
      </c>
      <c r="L14" s="451">
        <f t="shared" si="6"/>
        <v>0</v>
      </c>
      <c r="M14" s="451">
        <f t="shared" si="6"/>
        <v>0</v>
      </c>
      <c r="N14" s="451">
        <f t="shared" si="6"/>
        <v>0</v>
      </c>
      <c r="O14" s="451">
        <f t="shared" si="6"/>
        <v>0</v>
      </c>
      <c r="P14" s="451">
        <f t="shared" si="6"/>
        <v>0</v>
      </c>
      <c r="Q14" s="451">
        <f t="shared" si="6"/>
        <v>0</v>
      </c>
      <c r="R14" s="451">
        <f t="shared" si="6"/>
        <v>0</v>
      </c>
      <c r="S14" s="451">
        <f t="shared" si="6"/>
        <v>0</v>
      </c>
      <c r="T14" s="451">
        <f t="shared" si="6"/>
        <v>0</v>
      </c>
      <c r="U14" s="451">
        <f t="shared" si="6"/>
        <v>0</v>
      </c>
      <c r="V14" s="451">
        <f t="shared" si="6"/>
        <v>0</v>
      </c>
      <c r="W14" s="451">
        <f t="shared" si="6"/>
        <v>0</v>
      </c>
      <c r="X14" s="451">
        <f t="shared" si="6"/>
        <v>0</v>
      </c>
      <c r="Y14" s="451">
        <f t="shared" si="6"/>
        <v>0</v>
      </c>
      <c r="Z14" s="451">
        <f t="shared" si="6"/>
        <v>408496</v>
      </c>
      <c r="AA14" s="451">
        <f t="shared" si="6"/>
        <v>0</v>
      </c>
      <c r="AB14" s="451">
        <f t="shared" si="6"/>
        <v>0</v>
      </c>
      <c r="AC14" s="451">
        <f t="shared" si="6"/>
        <v>136728</v>
      </c>
      <c r="AD14" s="451">
        <f t="shared" si="6"/>
        <v>18282740</v>
      </c>
      <c r="AE14" s="451">
        <f t="shared" si="6"/>
        <v>317015</v>
      </c>
      <c r="AF14" s="451">
        <f t="shared" si="6"/>
        <v>0</v>
      </c>
      <c r="AG14" s="451">
        <f t="shared" si="6"/>
        <v>0</v>
      </c>
      <c r="AH14" s="451">
        <f t="shared" si="6"/>
        <v>131487</v>
      </c>
      <c r="AI14" s="451">
        <f t="shared" si="6"/>
        <v>0</v>
      </c>
      <c r="AJ14" s="451">
        <f t="shared" si="6"/>
        <v>0</v>
      </c>
      <c r="AK14" s="451">
        <f t="shared" si="6"/>
        <v>50640</v>
      </c>
      <c r="AL14" s="451">
        <f t="shared" si="6"/>
        <v>3042344</v>
      </c>
      <c r="AM14" s="451">
        <f t="shared" si="6"/>
        <v>25805170</v>
      </c>
      <c r="AN14" s="451">
        <f t="shared" si="6"/>
        <v>9403370</v>
      </c>
      <c r="AO14" s="451">
        <f t="shared" si="6"/>
        <v>0</v>
      </c>
      <c r="AP14" s="451">
        <f t="shared" si="6"/>
        <v>0</v>
      </c>
      <c r="AQ14" s="451">
        <f t="shared" si="6"/>
        <v>15485722</v>
      </c>
      <c r="AR14" s="451">
        <f t="shared" si="6"/>
        <v>916078</v>
      </c>
      <c r="AS14" s="451">
        <f t="shared" si="6"/>
        <v>0</v>
      </c>
      <c r="AT14" s="451">
        <f t="shared" si="6"/>
        <v>0</v>
      </c>
      <c r="AU14" s="451">
        <f t="shared" si="6"/>
        <v>2552695</v>
      </c>
      <c r="AV14" s="451">
        <f t="shared" si="6"/>
        <v>11687875</v>
      </c>
      <c r="AW14" s="451">
        <f t="shared" si="6"/>
        <v>11564600.300000001</v>
      </c>
      <c r="AX14" s="451">
        <f t="shared" si="6"/>
        <v>0</v>
      </c>
      <c r="AY14" s="359"/>
    </row>
    <row r="15" spans="1:51" s="12" customFormat="1" ht="18.75" customHeight="1" thickBot="1" x14ac:dyDescent="0.2">
      <c r="A15" s="157"/>
      <c r="B15" s="1142" t="s">
        <v>509</v>
      </c>
      <c r="C15" s="1142"/>
      <c r="D15" s="1142"/>
      <c r="E15" s="1142"/>
      <c r="F15" s="1142"/>
      <c r="G15" s="1142"/>
      <c r="H15" s="1142"/>
      <c r="I15" s="1142"/>
      <c r="J15" s="1142"/>
      <c r="K15" s="1142"/>
      <c r="L15" s="1142"/>
      <c r="M15" s="1142"/>
      <c r="N15" s="1142"/>
      <c r="O15" s="1142"/>
      <c r="P15" s="1142"/>
      <c r="Q15" s="1142"/>
      <c r="R15" s="1142"/>
      <c r="S15" s="1142"/>
      <c r="T15" s="1142"/>
      <c r="U15" s="1142"/>
      <c r="V15" s="1142"/>
      <c r="W15" s="1142"/>
      <c r="X15" s="1142"/>
      <c r="Y15" s="1142"/>
      <c r="Z15" s="1142"/>
      <c r="AA15" s="1142"/>
      <c r="AB15" s="1142"/>
      <c r="AC15" s="1142"/>
      <c r="AD15" s="1142"/>
      <c r="AE15" s="1142"/>
      <c r="AF15" s="1142"/>
      <c r="AG15" s="1142"/>
      <c r="AH15" s="1142"/>
      <c r="AI15" s="1142"/>
      <c r="AJ15" s="1142"/>
      <c r="AK15" s="1142"/>
      <c r="AL15" s="1142"/>
      <c r="AM15" s="1142"/>
      <c r="AN15" s="1142"/>
      <c r="AO15" s="1142"/>
      <c r="AP15" s="1142"/>
      <c r="AQ15" s="1142"/>
      <c r="AR15" s="1142"/>
      <c r="AS15" s="1143"/>
      <c r="AT15" s="157"/>
      <c r="AU15" s="453"/>
      <c r="AV15" s="454"/>
      <c r="AW15" s="455"/>
      <c r="AX15" s="455"/>
      <c r="AY15" s="359"/>
    </row>
    <row r="16" spans="1:51" s="5" customFormat="1" ht="51.75" customHeight="1" thickBot="1" x14ac:dyDescent="0.25">
      <c r="A16" s="200">
        <v>1</v>
      </c>
      <c r="B16" s="203">
        <v>8.1</v>
      </c>
      <c r="C16" s="1131" t="s">
        <v>510</v>
      </c>
      <c r="D16" s="17" t="s">
        <v>129</v>
      </c>
      <c r="E16" s="17" t="s">
        <v>511</v>
      </c>
      <c r="F16" s="17">
        <v>8.1</v>
      </c>
      <c r="G16" s="17"/>
      <c r="H16" s="37"/>
      <c r="I16" s="2"/>
      <c r="J16" s="2"/>
      <c r="K16" s="167">
        <f t="shared" si="3"/>
        <v>0</v>
      </c>
      <c r="L16" s="8"/>
      <c r="M16" s="8"/>
      <c r="N16" s="8"/>
      <c r="O16" s="8"/>
      <c r="P16" s="8"/>
      <c r="Q16" s="8"/>
      <c r="R16" s="8"/>
      <c r="S16" s="8"/>
      <c r="T16" s="68">
        <f t="shared" si="0"/>
        <v>0</v>
      </c>
      <c r="U16" s="39">
        <v>4500</v>
      </c>
      <c r="V16" s="39">
        <v>350</v>
      </c>
      <c r="W16" s="58">
        <f t="shared" si="1"/>
        <v>1575000</v>
      </c>
      <c r="X16" s="39">
        <v>3000</v>
      </c>
      <c r="Y16" s="39">
        <v>1250</v>
      </c>
      <c r="Z16" s="58">
        <f t="shared" ref="Z16:Z34" si="7">X16*Y16</f>
        <v>3750000</v>
      </c>
      <c r="AA16" s="42"/>
      <c r="AB16" s="42"/>
      <c r="AC16" s="58">
        <f t="shared" si="4"/>
        <v>0</v>
      </c>
      <c r="AD16" s="58"/>
      <c r="AE16" s="58"/>
      <c r="AF16" s="642"/>
      <c r="AG16" s="642"/>
      <c r="AH16" s="58">
        <f>AF16*AG16</f>
        <v>0</v>
      </c>
      <c r="AI16" s="642"/>
      <c r="AJ16" s="642"/>
      <c r="AK16" s="58">
        <f>AI16*AJ16</f>
        <v>0</v>
      </c>
      <c r="AL16" s="58">
        <v>500000</v>
      </c>
      <c r="AM16" s="58">
        <f t="shared" si="5"/>
        <v>5825000</v>
      </c>
      <c r="AN16" s="74">
        <f>AM16*25.93%</f>
        <v>1510422.4999999998</v>
      </c>
      <c r="AO16" s="74"/>
      <c r="AP16" s="74"/>
      <c r="AQ16" s="168"/>
      <c r="AR16" s="168"/>
      <c r="AS16" s="169">
        <f t="shared" si="2"/>
        <v>4314577.5</v>
      </c>
      <c r="AU16" s="170">
        <f>AM16*0.5</f>
        <v>2912500</v>
      </c>
      <c r="AV16" s="171">
        <f>AM16*0.5</f>
        <v>2912500</v>
      </c>
      <c r="AW16" s="172"/>
      <c r="AX16" s="172"/>
      <c r="AY16" s="359"/>
    </row>
    <row r="17" spans="1:51" s="6" customFormat="1" ht="39" thickBot="1" x14ac:dyDescent="0.25">
      <c r="A17" s="161"/>
      <c r="B17" s="203"/>
      <c r="C17" s="1131"/>
      <c r="D17" s="28" t="s">
        <v>130</v>
      </c>
      <c r="E17" s="28" t="s">
        <v>512</v>
      </c>
      <c r="F17" s="28">
        <v>8.1</v>
      </c>
      <c r="G17" s="28"/>
      <c r="H17" s="142"/>
      <c r="I17" s="175"/>
      <c r="J17" s="175"/>
      <c r="K17" s="167">
        <f t="shared" si="3"/>
        <v>0</v>
      </c>
      <c r="L17" s="8"/>
      <c r="M17" s="8"/>
      <c r="N17" s="8"/>
      <c r="O17" s="8"/>
      <c r="P17" s="8"/>
      <c r="Q17" s="8"/>
      <c r="R17" s="8"/>
      <c r="S17" s="8"/>
      <c r="T17" s="68">
        <f t="shared" si="0"/>
        <v>0</v>
      </c>
      <c r="U17" s="176">
        <v>300</v>
      </c>
      <c r="V17" s="39">
        <v>350</v>
      </c>
      <c r="W17" s="58">
        <f t="shared" si="1"/>
        <v>105000</v>
      </c>
      <c r="X17" s="176">
        <v>250</v>
      </c>
      <c r="Y17" s="39">
        <v>1250</v>
      </c>
      <c r="Z17" s="58">
        <f t="shared" si="7"/>
        <v>312500</v>
      </c>
      <c r="AA17" s="177"/>
      <c r="AB17" s="177"/>
      <c r="AC17" s="58">
        <f t="shared" si="4"/>
        <v>0</v>
      </c>
      <c r="AD17" s="178"/>
      <c r="AE17" s="178"/>
      <c r="AF17" s="640"/>
      <c r="AG17" s="640"/>
      <c r="AH17" s="58">
        <f>AF17*AG17</f>
        <v>0</v>
      </c>
      <c r="AI17" s="640"/>
      <c r="AJ17" s="640"/>
      <c r="AK17" s="58">
        <f>AI17*AJ17</f>
        <v>0</v>
      </c>
      <c r="AL17" s="178">
        <v>20000</v>
      </c>
      <c r="AM17" s="58">
        <f t="shared" si="5"/>
        <v>437500</v>
      </c>
      <c r="AN17" s="74">
        <f>AM17*25.93%</f>
        <v>113443.74999999999</v>
      </c>
      <c r="AO17" s="97"/>
      <c r="AP17" s="97"/>
      <c r="AQ17" s="179"/>
      <c r="AR17" s="179"/>
      <c r="AS17" s="169">
        <f t="shared" si="2"/>
        <v>324056.25</v>
      </c>
      <c r="AU17" s="170"/>
      <c r="AV17" s="171">
        <f>AM17*0.6</f>
        <v>262500</v>
      </c>
      <c r="AW17" s="172">
        <f>AM17*0.4</f>
        <v>175000</v>
      </c>
      <c r="AX17" s="172"/>
      <c r="AY17" s="359"/>
    </row>
    <row r="18" spans="1:51" s="5" customFormat="1" ht="51.75" thickBot="1" x14ac:dyDescent="0.25">
      <c r="A18" s="161"/>
      <c r="B18" s="203">
        <v>8.1999999999999993</v>
      </c>
      <c r="C18" s="202" t="s">
        <v>653</v>
      </c>
      <c r="D18" s="17" t="s">
        <v>131</v>
      </c>
      <c r="E18" s="17" t="s">
        <v>514</v>
      </c>
      <c r="F18" s="173" t="s">
        <v>591</v>
      </c>
      <c r="G18" s="17"/>
      <c r="H18" s="37"/>
      <c r="I18" s="2"/>
      <c r="J18" s="2"/>
      <c r="K18" s="167"/>
      <c r="L18" s="8"/>
      <c r="M18" s="8"/>
      <c r="N18" s="8"/>
      <c r="O18" s="8"/>
      <c r="P18" s="8"/>
      <c r="Q18" s="8"/>
      <c r="R18" s="8"/>
      <c r="S18" s="8"/>
      <c r="T18" s="68">
        <f t="shared" si="0"/>
        <v>0</v>
      </c>
      <c r="U18" s="39"/>
      <c r="V18" s="39"/>
      <c r="W18" s="58">
        <v>350000</v>
      </c>
      <c r="X18" s="39"/>
      <c r="Y18" s="39"/>
      <c r="Z18" s="58">
        <v>1000000</v>
      </c>
      <c r="AA18" s="42"/>
      <c r="AB18" s="42"/>
      <c r="AC18" s="58">
        <f t="shared" si="4"/>
        <v>0</v>
      </c>
      <c r="AD18" s="58"/>
      <c r="AE18" s="58"/>
      <c r="AF18" s="642"/>
      <c r="AG18" s="642"/>
      <c r="AH18" s="58"/>
      <c r="AI18" s="642"/>
      <c r="AJ18" s="642"/>
      <c r="AK18" s="58"/>
      <c r="AL18" s="58"/>
      <c r="AM18" s="58">
        <f t="shared" si="5"/>
        <v>1350000</v>
      </c>
      <c r="AN18" s="74">
        <f>1000000*(0.2+0.15)</f>
        <v>350000</v>
      </c>
      <c r="AO18" s="174"/>
      <c r="AQ18" s="74">
        <v>1000000</v>
      </c>
      <c r="AR18" s="168"/>
      <c r="AS18" s="169">
        <f t="shared" si="2"/>
        <v>0</v>
      </c>
      <c r="AU18" s="170">
        <f>AM18*0.7</f>
        <v>944999.99999999988</v>
      </c>
      <c r="AV18" s="171">
        <f>AM18*0.3</f>
        <v>405000</v>
      </c>
      <c r="AW18" s="172"/>
      <c r="AX18" s="172"/>
      <c r="AY18" s="359"/>
    </row>
    <row r="19" spans="1:51" s="6" customFormat="1" ht="40.35" customHeight="1" thickBot="1" x14ac:dyDescent="0.25">
      <c r="A19" s="161"/>
      <c r="B19" s="203">
        <v>8.3000000000000007</v>
      </c>
      <c r="C19" s="202" t="s">
        <v>592</v>
      </c>
      <c r="D19" s="17" t="s">
        <v>132</v>
      </c>
      <c r="E19" s="17" t="s">
        <v>593</v>
      </c>
      <c r="F19" s="17" t="s">
        <v>106</v>
      </c>
      <c r="G19" s="17"/>
      <c r="H19" s="37"/>
      <c r="I19" s="2"/>
      <c r="J19" s="2"/>
      <c r="K19" s="167">
        <f t="shared" si="3"/>
        <v>0</v>
      </c>
      <c r="L19" s="8"/>
      <c r="M19" s="8"/>
      <c r="N19" s="8"/>
      <c r="O19" s="8"/>
      <c r="P19" s="8"/>
      <c r="Q19" s="8"/>
      <c r="R19" s="8"/>
      <c r="S19" s="8"/>
      <c r="T19" s="68">
        <f t="shared" si="0"/>
        <v>0</v>
      </c>
      <c r="U19" s="39">
        <f>15*50</f>
        <v>750</v>
      </c>
      <c r="V19" s="39">
        <v>350</v>
      </c>
      <c r="W19" s="58">
        <f t="shared" si="1"/>
        <v>262500</v>
      </c>
      <c r="X19" s="39">
        <f>15*45</f>
        <v>675</v>
      </c>
      <c r="Y19" s="39">
        <v>1250</v>
      </c>
      <c r="Z19" s="58">
        <f t="shared" si="7"/>
        <v>843750</v>
      </c>
      <c r="AA19" s="42"/>
      <c r="AB19" s="42"/>
      <c r="AC19" s="58">
        <f t="shared" si="4"/>
        <v>0</v>
      </c>
      <c r="AD19" s="58"/>
      <c r="AE19" s="58"/>
      <c r="AF19" s="642"/>
      <c r="AG19" s="642"/>
      <c r="AH19" s="58">
        <f>AF19*AG19</f>
        <v>0</v>
      </c>
      <c r="AI19" s="642"/>
      <c r="AJ19" s="642"/>
      <c r="AK19" s="58">
        <f t="shared" ref="AK19:AK27" si="8">AI19*AJ19</f>
        <v>0</v>
      </c>
      <c r="AL19" s="58">
        <v>100000</v>
      </c>
      <c r="AM19" s="58">
        <f t="shared" si="5"/>
        <v>1206250</v>
      </c>
      <c r="AN19" s="74">
        <f>AM19*25.93%</f>
        <v>312780.62499999994</v>
      </c>
      <c r="AO19" s="74">
        <v>25992</v>
      </c>
      <c r="AP19" s="74"/>
      <c r="AQ19" s="168"/>
      <c r="AR19" s="168"/>
      <c r="AS19" s="169">
        <f t="shared" si="2"/>
        <v>867477.375</v>
      </c>
      <c r="AU19" s="170"/>
      <c r="AV19" s="171">
        <f>AM19*0.7</f>
        <v>844375</v>
      </c>
      <c r="AW19" s="172">
        <f>AM19*0.3</f>
        <v>361875</v>
      </c>
      <c r="AX19" s="172"/>
      <c r="AY19" s="359"/>
    </row>
    <row r="20" spans="1:51" s="7" customFormat="1" ht="26.25" customHeight="1" thickBot="1" x14ac:dyDescent="0.25">
      <c r="A20" s="161"/>
      <c r="B20" s="1133">
        <v>8.4</v>
      </c>
      <c r="C20" s="1131" t="s">
        <v>515</v>
      </c>
      <c r="D20" s="18" t="s">
        <v>36</v>
      </c>
      <c r="E20" s="19" t="s">
        <v>594</v>
      </c>
      <c r="F20" s="19">
        <v>8.4</v>
      </c>
      <c r="G20" s="19"/>
      <c r="H20" s="128"/>
      <c r="I20" s="129"/>
      <c r="J20" s="129"/>
      <c r="K20" s="167">
        <f t="shared" si="3"/>
        <v>0</v>
      </c>
      <c r="L20" s="131"/>
      <c r="M20" s="131"/>
      <c r="N20" s="131"/>
      <c r="O20" s="131"/>
      <c r="P20" s="131"/>
      <c r="Q20" s="131"/>
      <c r="R20" s="131"/>
      <c r="S20" s="131"/>
      <c r="T20" s="68">
        <f t="shared" si="0"/>
        <v>0</v>
      </c>
      <c r="U20" s="69"/>
      <c r="V20" s="69"/>
      <c r="W20" s="58">
        <f t="shared" si="1"/>
        <v>0</v>
      </c>
      <c r="X20" s="69"/>
      <c r="Y20" s="69"/>
      <c r="Z20" s="58">
        <f t="shared" si="7"/>
        <v>0</v>
      </c>
      <c r="AA20" s="70"/>
      <c r="AB20" s="70"/>
      <c r="AC20" s="58">
        <f t="shared" si="4"/>
        <v>0</v>
      </c>
      <c r="AD20" s="68"/>
      <c r="AE20" s="68"/>
      <c r="AF20" s="89"/>
      <c r="AG20" s="89"/>
      <c r="AH20" s="58">
        <v>241152</v>
      </c>
      <c r="AI20" s="89"/>
      <c r="AJ20" s="89"/>
      <c r="AK20" s="58">
        <f t="shared" si="8"/>
        <v>0</v>
      </c>
      <c r="AL20" s="68"/>
      <c r="AM20" s="58">
        <f t="shared" si="5"/>
        <v>241152</v>
      </c>
      <c r="AN20" s="71">
        <f>AM20*14.81%</f>
        <v>35714.611199999999</v>
      </c>
      <c r="AO20" s="71"/>
      <c r="AP20" s="71"/>
      <c r="AQ20" s="188"/>
      <c r="AR20" s="188"/>
      <c r="AS20" s="169">
        <f t="shared" si="2"/>
        <v>205437.38880000002</v>
      </c>
      <c r="AU20" s="170">
        <f>AM20*1</f>
        <v>241152</v>
      </c>
      <c r="AV20" s="171"/>
      <c r="AW20" s="172"/>
      <c r="AX20" s="172"/>
      <c r="AY20" s="359"/>
    </row>
    <row r="21" spans="1:51" s="7" customFormat="1" ht="39" thickBot="1" x14ac:dyDescent="0.25">
      <c r="A21" s="161"/>
      <c r="B21" s="1133"/>
      <c r="C21" s="1131"/>
      <c r="D21" s="17" t="s">
        <v>37</v>
      </c>
      <c r="E21" s="17" t="s">
        <v>516</v>
      </c>
      <c r="F21" s="17">
        <v>8.4</v>
      </c>
      <c r="G21" s="17"/>
      <c r="H21" s="37"/>
      <c r="I21" s="2"/>
      <c r="J21" s="2"/>
      <c r="K21" s="167">
        <f t="shared" si="3"/>
        <v>0</v>
      </c>
      <c r="L21" s="8"/>
      <c r="M21" s="8"/>
      <c r="N21" s="8"/>
      <c r="O21" s="8"/>
      <c r="P21" s="8"/>
      <c r="Q21" s="8"/>
      <c r="R21" s="8"/>
      <c r="S21" s="8"/>
      <c r="T21" s="68">
        <f t="shared" si="0"/>
        <v>0</v>
      </c>
      <c r="U21" s="39">
        <f>350*2.5</f>
        <v>875</v>
      </c>
      <c r="V21" s="39">
        <v>350</v>
      </c>
      <c r="W21" s="58">
        <f t="shared" si="1"/>
        <v>306250</v>
      </c>
      <c r="X21" s="39">
        <v>150</v>
      </c>
      <c r="Y21" s="39">
        <v>1250</v>
      </c>
      <c r="Z21" s="58">
        <f t="shared" si="7"/>
        <v>187500</v>
      </c>
      <c r="AA21" s="42"/>
      <c r="AB21" s="42"/>
      <c r="AC21" s="58">
        <f t="shared" si="4"/>
        <v>0</v>
      </c>
      <c r="AD21" s="58"/>
      <c r="AE21" s="58"/>
      <c r="AF21" s="642"/>
      <c r="AG21" s="642"/>
      <c r="AH21" s="58">
        <f t="shared" ref="AH21:AH27" si="9">AF21*AG21</f>
        <v>0</v>
      </c>
      <c r="AI21" s="642"/>
      <c r="AJ21" s="642"/>
      <c r="AK21" s="58">
        <f t="shared" si="8"/>
        <v>0</v>
      </c>
      <c r="AL21" s="58">
        <v>90000</v>
      </c>
      <c r="AM21" s="58">
        <f t="shared" si="5"/>
        <v>583750</v>
      </c>
      <c r="AN21" s="71"/>
      <c r="AO21" s="74"/>
      <c r="AQ21" s="193">
        <f>AM21</f>
        <v>583750</v>
      </c>
      <c r="AR21" s="194"/>
      <c r="AS21" s="169">
        <f t="shared" si="2"/>
        <v>0</v>
      </c>
      <c r="AU21" s="170">
        <f>AM21*1</f>
        <v>583750</v>
      </c>
      <c r="AV21" s="171"/>
      <c r="AW21" s="172"/>
      <c r="AX21" s="172"/>
      <c r="AY21" s="359"/>
    </row>
    <row r="22" spans="1:51" s="6" customFormat="1" ht="51.75" thickBot="1" x14ac:dyDescent="0.25">
      <c r="A22" s="161"/>
      <c r="B22" s="203">
        <v>8.5</v>
      </c>
      <c r="C22" s="202" t="s">
        <v>597</v>
      </c>
      <c r="D22" s="17">
        <v>1.4</v>
      </c>
      <c r="E22" s="28" t="s">
        <v>654</v>
      </c>
      <c r="F22" s="28">
        <v>8.5</v>
      </c>
      <c r="G22" s="28"/>
      <c r="H22" s="142"/>
      <c r="I22" s="175"/>
      <c r="J22" s="175"/>
      <c r="K22" s="167">
        <f t="shared" si="3"/>
        <v>0</v>
      </c>
      <c r="L22" s="160"/>
      <c r="M22" s="180"/>
      <c r="N22" s="180"/>
      <c r="O22" s="180"/>
      <c r="P22" s="180"/>
      <c r="Q22" s="180"/>
      <c r="R22" s="180"/>
      <c r="S22" s="180"/>
      <c r="T22" s="68">
        <f t="shared" si="0"/>
        <v>0</v>
      </c>
      <c r="U22" s="176"/>
      <c r="V22" s="176"/>
      <c r="W22" s="58">
        <v>150000</v>
      </c>
      <c r="X22" s="176"/>
      <c r="Y22" s="176"/>
      <c r="Z22" s="58">
        <f t="shared" si="7"/>
        <v>0</v>
      </c>
      <c r="AA22" s="177"/>
      <c r="AB22" s="181"/>
      <c r="AC22" s="58">
        <f t="shared" si="4"/>
        <v>0</v>
      </c>
      <c r="AD22" s="178"/>
      <c r="AE22" s="178"/>
      <c r="AF22" s="640"/>
      <c r="AG22" s="640"/>
      <c r="AH22" s="58">
        <f t="shared" si="9"/>
        <v>0</v>
      </c>
      <c r="AI22" s="640"/>
      <c r="AJ22" s="640"/>
      <c r="AK22" s="58">
        <f t="shared" si="8"/>
        <v>0</v>
      </c>
      <c r="AL22" s="178"/>
      <c r="AM22" s="58">
        <f t="shared" si="5"/>
        <v>150000</v>
      </c>
      <c r="AN22" s="74"/>
      <c r="AO22" s="97">
        <f>AM22</f>
        <v>150000</v>
      </c>
      <c r="AP22" s="97"/>
      <c r="AQ22" s="179"/>
      <c r="AR22" s="179"/>
      <c r="AS22" s="169">
        <f t="shared" si="2"/>
        <v>0</v>
      </c>
      <c r="AU22" s="170">
        <f>AM22*1</f>
        <v>150000</v>
      </c>
      <c r="AV22" s="171"/>
      <c r="AW22" s="172"/>
      <c r="AX22" s="172"/>
      <c r="AY22" s="359"/>
    </row>
    <row r="23" spans="1:51" s="7" customFormat="1" ht="26.25" thickBot="1" x14ac:dyDescent="0.25">
      <c r="A23" s="161"/>
      <c r="B23" s="1134">
        <v>8.6</v>
      </c>
      <c r="C23" s="1136" t="s">
        <v>517</v>
      </c>
      <c r="D23" s="17" t="s">
        <v>38</v>
      </c>
      <c r="E23" s="28" t="s">
        <v>655</v>
      </c>
      <c r="F23" s="28">
        <v>8.6</v>
      </c>
      <c r="G23" s="17"/>
      <c r="H23" s="142"/>
      <c r="I23" s="175"/>
      <c r="J23" s="175"/>
      <c r="K23" s="167">
        <f t="shared" si="3"/>
        <v>0</v>
      </c>
      <c r="L23" s="160"/>
      <c r="M23" s="180"/>
      <c r="N23" s="180"/>
      <c r="O23" s="180"/>
      <c r="P23" s="180"/>
      <c r="Q23" s="180"/>
      <c r="R23" s="180"/>
      <c r="S23" s="180"/>
      <c r="T23" s="68">
        <f t="shared" si="0"/>
        <v>0</v>
      </c>
      <c r="U23" s="176">
        <f>350*2.5</f>
        <v>875</v>
      </c>
      <c r="V23" s="39">
        <v>350</v>
      </c>
      <c r="W23" s="58">
        <f t="shared" si="1"/>
        <v>306250</v>
      </c>
      <c r="X23" s="176">
        <f>300*2</f>
        <v>600</v>
      </c>
      <c r="Y23" s="39">
        <v>1250</v>
      </c>
      <c r="Z23" s="58">
        <f t="shared" si="7"/>
        <v>750000</v>
      </c>
      <c r="AA23" s="177"/>
      <c r="AB23" s="177"/>
      <c r="AC23" s="58">
        <f t="shared" si="4"/>
        <v>0</v>
      </c>
      <c r="AD23" s="178"/>
      <c r="AE23" s="178"/>
      <c r="AF23" s="640"/>
      <c r="AG23" s="640"/>
      <c r="AH23" s="58">
        <f t="shared" si="9"/>
        <v>0</v>
      </c>
      <c r="AI23" s="640"/>
      <c r="AJ23" s="640"/>
      <c r="AK23" s="58">
        <f t="shared" si="8"/>
        <v>0</v>
      </c>
      <c r="AL23" s="178">
        <v>40000</v>
      </c>
      <c r="AM23" s="58">
        <f t="shared" si="5"/>
        <v>1096250</v>
      </c>
      <c r="AN23" s="71"/>
      <c r="AO23" s="97">
        <f>AM23</f>
        <v>1096250</v>
      </c>
      <c r="AP23" s="97"/>
      <c r="AQ23" s="179"/>
      <c r="AR23" s="179"/>
      <c r="AS23" s="169">
        <f t="shared" si="2"/>
        <v>0</v>
      </c>
      <c r="AU23" s="170">
        <f>AM23*1</f>
        <v>1096250</v>
      </c>
      <c r="AV23" s="171"/>
      <c r="AW23" s="172"/>
      <c r="AX23" s="172"/>
    </row>
    <row r="24" spans="1:51" s="7" customFormat="1" ht="26.25" thickBot="1" x14ac:dyDescent="0.25">
      <c r="A24" s="161"/>
      <c r="B24" s="1134"/>
      <c r="C24" s="1136"/>
      <c r="D24" s="17" t="s">
        <v>39</v>
      </c>
      <c r="E24" s="28" t="s">
        <v>657</v>
      </c>
      <c r="F24" s="28">
        <v>8.6</v>
      </c>
      <c r="G24" s="17" t="s">
        <v>336</v>
      </c>
      <c r="H24" s="142"/>
      <c r="I24" s="175"/>
      <c r="J24" s="175"/>
      <c r="K24" s="167">
        <f t="shared" si="3"/>
        <v>0</v>
      </c>
      <c r="L24" s="160"/>
      <c r="M24" s="180"/>
      <c r="N24" s="180"/>
      <c r="O24" s="180"/>
      <c r="P24" s="180"/>
      <c r="Q24" s="180"/>
      <c r="R24" s="180"/>
      <c r="S24" s="180"/>
      <c r="T24" s="68">
        <f t="shared" si="0"/>
        <v>0</v>
      </c>
      <c r="U24" s="176"/>
      <c r="V24" s="176"/>
      <c r="W24" s="58">
        <f t="shared" si="1"/>
        <v>0</v>
      </c>
      <c r="X24" s="176"/>
      <c r="Y24" s="176"/>
      <c r="Z24" s="58">
        <f t="shared" si="7"/>
        <v>0</v>
      </c>
      <c r="AA24" s="177"/>
      <c r="AB24" s="177"/>
      <c r="AC24" s="58">
        <f t="shared" si="4"/>
        <v>0</v>
      </c>
      <c r="AD24" s="178"/>
      <c r="AE24" s="178"/>
      <c r="AF24" s="640"/>
      <c r="AG24" s="640"/>
      <c r="AH24" s="58">
        <f t="shared" si="9"/>
        <v>0</v>
      </c>
      <c r="AI24" s="640"/>
      <c r="AJ24" s="640"/>
      <c r="AK24" s="58">
        <f t="shared" si="8"/>
        <v>0</v>
      </c>
      <c r="AL24" s="178"/>
      <c r="AM24" s="58">
        <f t="shared" si="5"/>
        <v>0</v>
      </c>
      <c r="AN24" s="71">
        <f>AM24*14.81%</f>
        <v>0</v>
      </c>
      <c r="AO24" s="97"/>
      <c r="AP24" s="97"/>
      <c r="AQ24" s="179"/>
      <c r="AR24" s="179"/>
      <c r="AS24" s="169">
        <f t="shared" si="2"/>
        <v>0</v>
      </c>
      <c r="AU24" s="170"/>
      <c r="AV24" s="171">
        <f>AM24*1</f>
        <v>0</v>
      </c>
      <c r="AW24" s="172"/>
      <c r="AX24" s="172"/>
    </row>
    <row r="25" spans="1:51" s="7" customFormat="1" ht="21.6" customHeight="1" thickBot="1" x14ac:dyDescent="0.25">
      <c r="A25" s="161"/>
      <c r="B25" s="1135"/>
      <c r="C25" s="1137"/>
      <c r="D25" s="30" t="s">
        <v>40</v>
      </c>
      <c r="E25" s="30" t="s">
        <v>656</v>
      </c>
      <c r="F25" s="28">
        <v>8.6</v>
      </c>
      <c r="G25" s="799" t="s">
        <v>336</v>
      </c>
      <c r="H25" s="135"/>
      <c r="I25" s="136"/>
      <c r="J25" s="136"/>
      <c r="K25" s="167">
        <f t="shared" si="3"/>
        <v>0</v>
      </c>
      <c r="L25" s="137"/>
      <c r="M25" s="138"/>
      <c r="N25" s="77"/>
      <c r="O25" s="77"/>
      <c r="P25" s="77"/>
      <c r="Q25" s="77"/>
      <c r="R25" s="77"/>
      <c r="S25" s="77"/>
      <c r="T25" s="68">
        <f t="shared" si="0"/>
        <v>0</v>
      </c>
      <c r="U25" s="77"/>
      <c r="V25" s="77"/>
      <c r="W25" s="58">
        <f t="shared" si="1"/>
        <v>0</v>
      </c>
      <c r="X25" s="77"/>
      <c r="Y25" s="77"/>
      <c r="Z25" s="58">
        <f t="shared" si="7"/>
        <v>0</v>
      </c>
      <c r="AA25" s="78"/>
      <c r="AB25" s="78"/>
      <c r="AC25" s="58">
        <f t="shared" si="4"/>
        <v>0</v>
      </c>
      <c r="AD25" s="79"/>
      <c r="AE25" s="79"/>
      <c r="AF25" s="641"/>
      <c r="AG25" s="641"/>
      <c r="AH25" s="58">
        <f t="shared" si="9"/>
        <v>0</v>
      </c>
      <c r="AI25" s="641"/>
      <c r="AJ25" s="641"/>
      <c r="AK25" s="58">
        <f t="shared" si="8"/>
        <v>0</v>
      </c>
      <c r="AL25" s="80"/>
      <c r="AM25" s="58">
        <f t="shared" si="5"/>
        <v>0</v>
      </c>
      <c r="AN25" s="71">
        <f>AM25*14.81%</f>
        <v>0</v>
      </c>
      <c r="AO25" s="81"/>
      <c r="AP25" s="81"/>
      <c r="AQ25" s="179"/>
      <c r="AR25" s="179"/>
      <c r="AS25" s="169">
        <f t="shared" si="2"/>
        <v>0</v>
      </c>
      <c r="AU25" s="170"/>
      <c r="AV25" s="171">
        <f>AM25*1</f>
        <v>0</v>
      </c>
      <c r="AW25" s="172"/>
      <c r="AX25" s="172"/>
    </row>
    <row r="26" spans="1:51" s="5" customFormat="1" ht="36.6" customHeight="1" thickBot="1" x14ac:dyDescent="0.25">
      <c r="A26" s="161"/>
      <c r="B26" s="1138">
        <v>8.6999999999999993</v>
      </c>
      <c r="C26" s="1141" t="s">
        <v>520</v>
      </c>
      <c r="D26" s="18" t="s">
        <v>41</v>
      </c>
      <c r="E26" s="19" t="s">
        <v>519</v>
      </c>
      <c r="F26" s="19">
        <v>8.6999999999999993</v>
      </c>
      <c r="G26" s="19"/>
      <c r="H26" s="128"/>
      <c r="I26" s="129"/>
      <c r="J26" s="129"/>
      <c r="K26" s="167">
        <f t="shared" si="3"/>
        <v>0</v>
      </c>
      <c r="L26" s="131"/>
      <c r="M26" s="131"/>
      <c r="N26" s="131"/>
      <c r="O26" s="131"/>
      <c r="P26" s="131"/>
      <c r="Q26" s="131"/>
      <c r="R26" s="131"/>
      <c r="S26" s="141"/>
      <c r="T26" s="68">
        <f t="shared" si="0"/>
        <v>0</v>
      </c>
      <c r="U26" s="69">
        <v>20</v>
      </c>
      <c r="V26" s="69">
        <v>300</v>
      </c>
      <c r="W26" s="58">
        <f t="shared" si="1"/>
        <v>6000</v>
      </c>
      <c r="X26" s="69"/>
      <c r="Y26" s="69"/>
      <c r="Z26" s="58">
        <f t="shared" si="7"/>
        <v>0</v>
      </c>
      <c r="AA26" s="70"/>
      <c r="AB26" s="70"/>
      <c r="AC26" s="58">
        <f t="shared" si="4"/>
        <v>0</v>
      </c>
      <c r="AD26" s="68"/>
      <c r="AE26" s="68"/>
      <c r="AF26" s="89"/>
      <c r="AG26" s="89"/>
      <c r="AH26" s="58">
        <f t="shared" si="9"/>
        <v>0</v>
      </c>
      <c r="AI26" s="89"/>
      <c r="AJ26" s="89"/>
      <c r="AK26" s="58">
        <f t="shared" si="8"/>
        <v>0</v>
      </c>
      <c r="AL26" s="68"/>
      <c r="AM26" s="58">
        <f t="shared" si="5"/>
        <v>6000</v>
      </c>
      <c r="AN26" s="71"/>
      <c r="AO26" s="71"/>
      <c r="AP26" s="71"/>
      <c r="AQ26" s="188"/>
      <c r="AR26" s="188"/>
      <c r="AS26" s="169">
        <f t="shared" si="2"/>
        <v>6000</v>
      </c>
      <c r="AU26" s="170"/>
      <c r="AV26" s="171"/>
      <c r="AW26" s="172">
        <f>AM26</f>
        <v>6000</v>
      </c>
      <c r="AX26" s="172"/>
    </row>
    <row r="27" spans="1:51" s="6" customFormat="1" ht="30.6" customHeight="1" x14ac:dyDescent="0.2">
      <c r="A27" s="161"/>
      <c r="B27" s="1134"/>
      <c r="C27" s="1136"/>
      <c r="D27" s="17" t="s">
        <v>42</v>
      </c>
      <c r="E27" s="17" t="s">
        <v>526</v>
      </c>
      <c r="F27" s="17">
        <v>8.6999999999999993</v>
      </c>
      <c r="G27" s="17" t="s">
        <v>518</v>
      </c>
      <c r="H27" s="37"/>
      <c r="I27" s="2"/>
      <c r="J27" s="2"/>
      <c r="K27" s="167">
        <f t="shared" si="3"/>
        <v>0</v>
      </c>
      <c r="L27" s="8">
        <v>15</v>
      </c>
      <c r="M27" s="8">
        <v>3</v>
      </c>
      <c r="N27" s="8">
        <v>20</v>
      </c>
      <c r="O27" s="8">
        <v>350</v>
      </c>
      <c r="P27" s="8">
        <v>25</v>
      </c>
      <c r="Q27" s="8">
        <v>30</v>
      </c>
      <c r="R27" s="8">
        <v>20</v>
      </c>
      <c r="S27" s="8">
        <v>65</v>
      </c>
      <c r="T27" s="68">
        <f t="shared" si="0"/>
        <v>74175</v>
      </c>
      <c r="U27" s="39"/>
      <c r="V27" s="39"/>
      <c r="W27" s="58">
        <f t="shared" si="1"/>
        <v>0</v>
      </c>
      <c r="X27" s="39"/>
      <c r="Y27" s="39"/>
      <c r="Z27" s="58">
        <f t="shared" si="7"/>
        <v>0</v>
      </c>
      <c r="AA27" s="42"/>
      <c r="AB27" s="42"/>
      <c r="AC27" s="58">
        <f t="shared" si="4"/>
        <v>0</v>
      </c>
      <c r="AD27" s="58"/>
      <c r="AE27" s="58"/>
      <c r="AF27" s="642"/>
      <c r="AG27" s="642"/>
      <c r="AH27" s="58">
        <f t="shared" si="9"/>
        <v>0</v>
      </c>
      <c r="AI27" s="642"/>
      <c r="AJ27" s="642"/>
      <c r="AK27" s="58">
        <f t="shared" si="8"/>
        <v>0</v>
      </c>
      <c r="AL27" s="58"/>
      <c r="AM27" s="58">
        <f t="shared" si="5"/>
        <v>74175</v>
      </c>
      <c r="AN27" s="71"/>
      <c r="AO27" s="74"/>
      <c r="AP27" s="74"/>
      <c r="AQ27" s="168"/>
      <c r="AR27" s="168"/>
      <c r="AS27" s="169">
        <f t="shared" si="2"/>
        <v>74175</v>
      </c>
      <c r="AU27" s="170"/>
      <c r="AV27" s="171"/>
      <c r="AW27" s="172">
        <f>AM27*1</f>
        <v>74175</v>
      </c>
      <c r="AX27" s="172"/>
    </row>
    <row r="28" spans="1:51" s="6" customFormat="1" ht="12" customHeight="1" thickBot="1" x14ac:dyDescent="0.25">
      <c r="A28" s="460"/>
      <c r="B28" s="461"/>
      <c r="C28" s="449"/>
      <c r="D28" s="449"/>
      <c r="E28" s="450"/>
      <c r="F28" s="462"/>
      <c r="G28" s="462"/>
      <c r="H28" s="452"/>
      <c r="I28" s="463"/>
      <c r="J28" s="463"/>
      <c r="K28" s="451">
        <f>SUM(K15:K27)</f>
        <v>0</v>
      </c>
      <c r="L28" s="451"/>
      <c r="M28" s="451"/>
      <c r="N28" s="451"/>
      <c r="O28" s="451"/>
      <c r="P28" s="451"/>
      <c r="Q28" s="451"/>
      <c r="R28" s="451"/>
      <c r="S28" s="451"/>
      <c r="T28" s="451">
        <f t="shared" ref="T28:AX28" si="10">SUM(T15:T27)</f>
        <v>74175</v>
      </c>
      <c r="U28" s="451"/>
      <c r="V28" s="451"/>
      <c r="W28" s="451">
        <f t="shared" si="10"/>
        <v>3061000</v>
      </c>
      <c r="X28" s="451"/>
      <c r="Y28" s="451"/>
      <c r="Z28" s="451">
        <f t="shared" si="10"/>
        <v>6843750</v>
      </c>
      <c r="AA28" s="451">
        <f t="shared" si="10"/>
        <v>0</v>
      </c>
      <c r="AB28" s="451">
        <f t="shared" si="10"/>
        <v>0</v>
      </c>
      <c r="AC28" s="451">
        <f t="shared" si="10"/>
        <v>0</v>
      </c>
      <c r="AD28" s="451">
        <f t="shared" si="10"/>
        <v>0</v>
      </c>
      <c r="AE28" s="451">
        <f t="shared" si="10"/>
        <v>0</v>
      </c>
      <c r="AF28" s="451">
        <f t="shared" si="10"/>
        <v>0</v>
      </c>
      <c r="AG28" s="451">
        <f t="shared" si="10"/>
        <v>0</v>
      </c>
      <c r="AH28" s="451">
        <f t="shared" si="10"/>
        <v>241152</v>
      </c>
      <c r="AI28" s="451">
        <f t="shared" si="10"/>
        <v>0</v>
      </c>
      <c r="AJ28" s="451">
        <f t="shared" si="10"/>
        <v>0</v>
      </c>
      <c r="AK28" s="451">
        <f t="shared" si="10"/>
        <v>0</v>
      </c>
      <c r="AL28" s="451">
        <f t="shared" si="10"/>
        <v>750000</v>
      </c>
      <c r="AM28" s="451">
        <f t="shared" si="10"/>
        <v>10970077</v>
      </c>
      <c r="AN28" s="451">
        <f t="shared" si="10"/>
        <v>2322361.4861999997</v>
      </c>
      <c r="AO28" s="451">
        <f t="shared" si="10"/>
        <v>1272242</v>
      </c>
      <c r="AP28" s="451">
        <f t="shared" si="10"/>
        <v>0</v>
      </c>
      <c r="AQ28" s="451">
        <f t="shared" si="10"/>
        <v>1583750</v>
      </c>
      <c r="AR28" s="451">
        <f t="shared" si="10"/>
        <v>0</v>
      </c>
      <c r="AS28" s="451">
        <f t="shared" si="10"/>
        <v>5791723.5137999998</v>
      </c>
      <c r="AT28" s="451"/>
      <c r="AU28" s="451">
        <f t="shared" si="10"/>
        <v>5928652</v>
      </c>
      <c r="AV28" s="451">
        <f t="shared" si="10"/>
        <v>4424375</v>
      </c>
      <c r="AW28" s="451">
        <f t="shared" si="10"/>
        <v>617050</v>
      </c>
      <c r="AX28" s="451">
        <f t="shared" si="10"/>
        <v>0</v>
      </c>
    </row>
    <row r="29" spans="1:51" s="12" customFormat="1" ht="58.5" customHeight="1" thickBot="1" x14ac:dyDescent="0.25">
      <c r="A29" s="344"/>
      <c r="B29" s="1139" t="s">
        <v>658</v>
      </c>
      <c r="C29" s="1139"/>
      <c r="D29" s="1139"/>
      <c r="E29" s="1140"/>
      <c r="F29" s="345"/>
      <c r="G29" s="340"/>
      <c r="H29" s="27"/>
      <c r="I29" s="27"/>
      <c r="J29" s="27"/>
      <c r="K29" s="167">
        <f t="shared" si="3"/>
        <v>0</v>
      </c>
      <c r="L29" s="27"/>
      <c r="M29" s="27"/>
      <c r="N29" s="27"/>
      <c r="O29" s="27"/>
      <c r="P29" s="27"/>
      <c r="Q29" s="27"/>
      <c r="R29" s="27"/>
      <c r="S29" s="27"/>
      <c r="T29" s="68">
        <f t="shared" si="0"/>
        <v>0</v>
      </c>
      <c r="U29" s="27"/>
      <c r="V29" s="27"/>
      <c r="W29" s="58">
        <f t="shared" si="1"/>
        <v>0</v>
      </c>
      <c r="X29" s="27"/>
      <c r="Y29" s="27"/>
      <c r="Z29" s="58">
        <f t="shared" si="7"/>
        <v>0</v>
      </c>
      <c r="AA29" s="27"/>
      <c r="AB29" s="27"/>
      <c r="AC29" s="58">
        <f t="shared" si="4"/>
        <v>0</v>
      </c>
      <c r="AD29" s="27"/>
      <c r="AE29" s="27"/>
      <c r="AF29" s="27"/>
      <c r="AG29" s="27"/>
      <c r="AH29" s="27"/>
      <c r="AI29" s="27"/>
      <c r="AJ29" s="27"/>
      <c r="AK29" s="27"/>
      <c r="AL29" s="27"/>
      <c r="AM29" s="58">
        <f t="shared" si="5"/>
        <v>0</v>
      </c>
      <c r="AN29" s="27"/>
      <c r="AO29" s="27"/>
      <c r="AP29" s="27"/>
      <c r="AQ29" s="166"/>
      <c r="AR29" s="166"/>
      <c r="AS29" s="169">
        <f t="shared" si="2"/>
        <v>0</v>
      </c>
      <c r="AT29" s="157"/>
      <c r="AU29" s="20"/>
      <c r="AV29" s="16"/>
      <c r="AW29" s="21"/>
      <c r="AX29" s="21"/>
    </row>
    <row r="30" spans="1:51" s="7" customFormat="1" ht="39" customHeight="1" thickBot="1" x14ac:dyDescent="0.25">
      <c r="A30" s="161"/>
      <c r="B30" s="808">
        <v>9.1</v>
      </c>
      <c r="C30" s="202" t="s">
        <v>521</v>
      </c>
      <c r="D30" s="17" t="s">
        <v>32</v>
      </c>
      <c r="E30" s="19" t="s">
        <v>522</v>
      </c>
      <c r="F30" s="156">
        <v>9.1</v>
      </c>
      <c r="G30" s="30"/>
      <c r="H30" s="128"/>
      <c r="I30" s="129"/>
      <c r="J30" s="129"/>
      <c r="K30" s="167">
        <f t="shared" si="3"/>
        <v>0</v>
      </c>
      <c r="L30" s="131"/>
      <c r="M30" s="131"/>
      <c r="N30" s="131"/>
      <c r="O30" s="131"/>
      <c r="P30" s="131"/>
      <c r="Q30" s="131"/>
      <c r="R30" s="131"/>
      <c r="S30" s="141"/>
      <c r="T30" s="68">
        <f t="shared" si="0"/>
        <v>0</v>
      </c>
      <c r="U30" s="69">
        <v>400</v>
      </c>
      <c r="V30" s="69">
        <v>300</v>
      </c>
      <c r="W30" s="58">
        <f t="shared" si="1"/>
        <v>120000</v>
      </c>
      <c r="X30" s="69">
        <v>80</v>
      </c>
      <c r="Y30" s="69">
        <v>1000</v>
      </c>
      <c r="Z30" s="58">
        <f t="shared" si="7"/>
        <v>80000</v>
      </c>
      <c r="AA30" s="70"/>
      <c r="AB30" s="70"/>
      <c r="AC30" s="58">
        <f t="shared" si="4"/>
        <v>0</v>
      </c>
      <c r="AD30" s="68"/>
      <c r="AE30" s="68"/>
      <c r="AF30" s="89"/>
      <c r="AG30" s="89"/>
      <c r="AH30" s="58">
        <f>AF30*AG30</f>
        <v>0</v>
      </c>
      <c r="AI30" s="89"/>
      <c r="AJ30" s="89"/>
      <c r="AK30" s="58">
        <f>AI30*AJ30</f>
        <v>0</v>
      </c>
      <c r="AL30" s="68"/>
      <c r="AM30" s="58">
        <f t="shared" si="5"/>
        <v>200000</v>
      </c>
      <c r="AN30" s="71"/>
      <c r="AO30" s="71"/>
      <c r="AP30" s="71"/>
      <c r="AQ30" s="188"/>
      <c r="AR30" s="188"/>
      <c r="AS30" s="169">
        <f t="shared" si="2"/>
        <v>200000</v>
      </c>
      <c r="AU30" s="170">
        <f>AM30*1</f>
        <v>200000</v>
      </c>
      <c r="AV30" s="171"/>
      <c r="AW30" s="172"/>
      <c r="AX30" s="172"/>
    </row>
    <row r="31" spans="1:51" s="7" customFormat="1" ht="39" customHeight="1" thickBot="1" x14ac:dyDescent="0.25">
      <c r="A31" s="161"/>
      <c r="B31" s="1132">
        <v>9.1999999999999993</v>
      </c>
      <c r="C31" s="1131" t="s">
        <v>523</v>
      </c>
      <c r="D31" s="17" t="s">
        <v>33</v>
      </c>
      <c r="E31" s="18" t="s">
        <v>524</v>
      </c>
      <c r="F31" s="18">
        <v>9.1999999999999993</v>
      </c>
      <c r="G31" s="18"/>
      <c r="H31" s="132"/>
      <c r="I31" s="133"/>
      <c r="J31" s="133"/>
      <c r="K31" s="167">
        <f t="shared" si="3"/>
        <v>0</v>
      </c>
      <c r="L31" s="141"/>
      <c r="M31" s="141"/>
      <c r="N31" s="141"/>
      <c r="O31" s="141"/>
      <c r="P31" s="141"/>
      <c r="Q31" s="141"/>
      <c r="R31" s="141"/>
      <c r="S31" s="141"/>
      <c r="T31" s="68">
        <f t="shared" si="0"/>
        <v>0</v>
      </c>
      <c r="U31" s="85"/>
      <c r="V31" s="85"/>
      <c r="W31" s="58">
        <f t="shared" si="1"/>
        <v>0</v>
      </c>
      <c r="X31" s="85"/>
      <c r="Y31" s="85"/>
      <c r="Z31" s="58">
        <f t="shared" si="7"/>
        <v>0</v>
      </c>
      <c r="AA31" s="87"/>
      <c r="AB31" s="87"/>
      <c r="AC31" s="58">
        <f t="shared" si="4"/>
        <v>0</v>
      </c>
      <c r="AD31" s="86"/>
      <c r="AE31" s="86">
        <v>1350000</v>
      </c>
      <c r="AF31" s="639"/>
      <c r="AG31" s="639"/>
      <c r="AH31" s="58">
        <f>AF31*AG31</f>
        <v>0</v>
      </c>
      <c r="AI31" s="639"/>
      <c r="AJ31" s="639"/>
      <c r="AK31" s="58">
        <f>AI31*AJ31</f>
        <v>0</v>
      </c>
      <c r="AL31" s="86"/>
      <c r="AM31" s="58">
        <f t="shared" si="5"/>
        <v>1350000</v>
      </c>
      <c r="AN31" s="88">
        <v>350000</v>
      </c>
      <c r="AO31" s="88"/>
      <c r="AP31" s="88"/>
      <c r="AQ31" s="188"/>
      <c r="AR31" s="188"/>
      <c r="AS31" s="169">
        <f t="shared" si="2"/>
        <v>1000000</v>
      </c>
      <c r="AU31" s="170">
        <f>AM31*0.2</f>
        <v>270000</v>
      </c>
      <c r="AV31" s="171">
        <f>AM31*0.8</f>
        <v>1080000</v>
      </c>
      <c r="AW31" s="172"/>
      <c r="AX31" s="172"/>
    </row>
    <row r="32" spans="1:51" s="7" customFormat="1" ht="39" thickBot="1" x14ac:dyDescent="0.25">
      <c r="A32" s="161"/>
      <c r="B32" s="1132"/>
      <c r="C32" s="1131"/>
      <c r="D32" s="17" t="s">
        <v>34</v>
      </c>
      <c r="E32" s="31" t="s">
        <v>525</v>
      </c>
      <c r="F32" s="31">
        <v>9.1999999999999993</v>
      </c>
      <c r="G32" s="18"/>
      <c r="H32" s="132"/>
      <c r="I32" s="133"/>
      <c r="J32" s="133"/>
      <c r="K32" s="167">
        <f t="shared" si="3"/>
        <v>0</v>
      </c>
      <c r="L32" s="141"/>
      <c r="M32" s="141"/>
      <c r="N32" s="141"/>
      <c r="O32" s="141"/>
      <c r="P32" s="141"/>
      <c r="Q32" s="141"/>
      <c r="R32" s="141"/>
      <c r="S32" s="141"/>
      <c r="T32" s="68">
        <f t="shared" si="0"/>
        <v>0</v>
      </c>
      <c r="U32" s="85"/>
      <c r="V32" s="85"/>
      <c r="W32" s="58">
        <f t="shared" si="1"/>
        <v>0</v>
      </c>
      <c r="X32" s="85">
        <v>60</v>
      </c>
      <c r="Y32" s="85">
        <v>350</v>
      </c>
      <c r="Z32" s="58">
        <f t="shared" si="7"/>
        <v>21000</v>
      </c>
      <c r="AA32" s="87">
        <v>200</v>
      </c>
      <c r="AB32" s="87">
        <v>1250</v>
      </c>
      <c r="AC32" s="58">
        <f t="shared" si="4"/>
        <v>250000</v>
      </c>
      <c r="AD32" s="86"/>
      <c r="AE32" s="86">
        <v>6750000</v>
      </c>
      <c r="AF32" s="639"/>
      <c r="AG32" s="639"/>
      <c r="AH32" s="58">
        <v>4800000</v>
      </c>
      <c r="AI32" s="639"/>
      <c r="AJ32" s="639"/>
      <c r="AK32" s="58">
        <f>AI32*AJ32</f>
        <v>0</v>
      </c>
      <c r="AL32" s="86"/>
      <c r="AM32" s="58">
        <f t="shared" si="5"/>
        <v>11821000</v>
      </c>
      <c r="AN32" s="190">
        <f>750000+800000</f>
        <v>1550000</v>
      </c>
      <c r="AO32" s="88"/>
      <c r="AP32" s="88"/>
      <c r="AQ32" s="188"/>
      <c r="AR32" s="188"/>
      <c r="AS32" s="169">
        <f t="shared" si="2"/>
        <v>10271000</v>
      </c>
      <c r="AU32" s="170"/>
      <c r="AV32" s="171">
        <f>AM32*0.8</f>
        <v>9456800</v>
      </c>
      <c r="AW32" s="172">
        <f>AM32*0.2</f>
        <v>2364200</v>
      </c>
      <c r="AX32" s="172"/>
    </row>
    <row r="33" spans="1:50" s="6" customFormat="1" ht="26.25" thickBot="1" x14ac:dyDescent="0.25">
      <c r="A33" s="161"/>
      <c r="B33" s="1132"/>
      <c r="C33" s="1131"/>
      <c r="D33" s="18" t="s">
        <v>43</v>
      </c>
      <c r="E33" s="32" t="s">
        <v>527</v>
      </c>
      <c r="F33" s="32">
        <v>9.1999999999999993</v>
      </c>
      <c r="G33" s="17" t="s">
        <v>518</v>
      </c>
      <c r="H33" s="142"/>
      <c r="I33" s="175"/>
      <c r="J33" s="175"/>
      <c r="K33" s="167">
        <f t="shared" si="3"/>
        <v>0</v>
      </c>
      <c r="L33" s="160">
        <v>15</v>
      </c>
      <c r="M33" s="180">
        <v>3</v>
      </c>
      <c r="N33" s="180">
        <v>20</v>
      </c>
      <c r="O33" s="180">
        <v>350</v>
      </c>
      <c r="P33" s="8">
        <v>25</v>
      </c>
      <c r="Q33" s="8">
        <v>30</v>
      </c>
      <c r="R33" s="8">
        <v>20</v>
      </c>
      <c r="S33" s="8">
        <v>65</v>
      </c>
      <c r="T33" s="68">
        <f>(L33*M33*O33)+(L33*M33*N33*P33)+(L33*M33*N33*Q33)+(L33*N33*R33)+(L33*M33*S33)+51906</f>
        <v>126081</v>
      </c>
      <c r="U33" s="176"/>
      <c r="V33" s="176"/>
      <c r="W33" s="58">
        <f t="shared" si="1"/>
        <v>0</v>
      </c>
      <c r="X33" s="176"/>
      <c r="Y33" s="176"/>
      <c r="Z33" s="58">
        <f t="shared" si="7"/>
        <v>0</v>
      </c>
      <c r="AA33" s="177"/>
      <c r="AB33" s="177"/>
      <c r="AC33" s="58">
        <f t="shared" si="4"/>
        <v>0</v>
      </c>
      <c r="AD33" s="178"/>
      <c r="AE33" s="178"/>
      <c r="AF33" s="640"/>
      <c r="AG33" s="640"/>
      <c r="AH33" s="58">
        <f>AF33*AG33</f>
        <v>0</v>
      </c>
      <c r="AI33" s="640"/>
      <c r="AJ33" s="640"/>
      <c r="AK33" s="58">
        <f>AI33*AJ33</f>
        <v>0</v>
      </c>
      <c r="AL33" s="58"/>
      <c r="AM33" s="58">
        <f t="shared" si="5"/>
        <v>126081</v>
      </c>
      <c r="AN33" s="71">
        <v>74175</v>
      </c>
      <c r="AO33" s="97"/>
      <c r="AQ33" s="97">
        <v>51906</v>
      </c>
      <c r="AR33" s="179"/>
      <c r="AS33" s="169">
        <f t="shared" si="2"/>
        <v>0</v>
      </c>
      <c r="AU33" s="170"/>
      <c r="AV33" s="171"/>
      <c r="AW33" s="172">
        <f>AM33*1</f>
        <v>126081</v>
      </c>
      <c r="AX33" s="172"/>
    </row>
    <row r="34" spans="1:50" s="7" customFormat="1" ht="45" customHeight="1" thickBot="1" x14ac:dyDescent="0.25">
      <c r="A34" s="161"/>
      <c r="B34" s="808">
        <v>9.3000000000000007</v>
      </c>
      <c r="C34" s="202" t="s">
        <v>528</v>
      </c>
      <c r="D34" s="30" t="s">
        <v>35</v>
      </c>
      <c r="E34" s="30" t="s">
        <v>529</v>
      </c>
      <c r="F34" s="30">
        <v>9.3000000000000007</v>
      </c>
      <c r="G34" s="30"/>
      <c r="H34" s="135"/>
      <c r="I34" s="136"/>
      <c r="J34" s="136"/>
      <c r="K34" s="167">
        <f t="shared" si="3"/>
        <v>0</v>
      </c>
      <c r="L34" s="137"/>
      <c r="M34" s="138"/>
      <c r="N34" s="77"/>
      <c r="O34" s="77"/>
      <c r="P34" s="77"/>
      <c r="Q34" s="77"/>
      <c r="R34" s="77"/>
      <c r="S34" s="77"/>
      <c r="T34" s="68">
        <f t="shared" si="0"/>
        <v>0</v>
      </c>
      <c r="U34" s="77"/>
      <c r="V34" s="77"/>
      <c r="W34" s="58">
        <f t="shared" si="1"/>
        <v>0</v>
      </c>
      <c r="X34" s="77"/>
      <c r="Y34" s="77"/>
      <c r="Z34" s="58">
        <f t="shared" si="7"/>
        <v>0</v>
      </c>
      <c r="AA34" s="78"/>
      <c r="AB34" s="78"/>
      <c r="AC34" s="58">
        <f t="shared" si="4"/>
        <v>0</v>
      </c>
      <c r="AD34" s="79"/>
      <c r="AE34" s="79">
        <f>250000*0.844</f>
        <v>211000</v>
      </c>
      <c r="AF34" s="641"/>
      <c r="AG34" s="641"/>
      <c r="AH34" s="58">
        <f>AF34*AG34</f>
        <v>0</v>
      </c>
      <c r="AI34" s="641"/>
      <c r="AJ34" s="641"/>
      <c r="AK34" s="58">
        <f>AI34*AJ34</f>
        <v>0</v>
      </c>
      <c r="AL34" s="80"/>
      <c r="AM34" s="58">
        <f t="shared" si="5"/>
        <v>211000</v>
      </c>
      <c r="AN34" s="81"/>
      <c r="AO34" s="81"/>
      <c r="AQ34" s="191">
        <f>AM34</f>
        <v>211000</v>
      </c>
      <c r="AR34" s="192"/>
      <c r="AS34" s="169">
        <f t="shared" si="2"/>
        <v>0</v>
      </c>
      <c r="AU34" s="170">
        <f>AM34*1</f>
        <v>211000</v>
      </c>
      <c r="AV34" s="171"/>
      <c r="AW34" s="172"/>
      <c r="AX34" s="172"/>
    </row>
    <row r="35" spans="1:50" s="7" customFormat="1" ht="13.5" thickBot="1" x14ac:dyDescent="0.25">
      <c r="A35" s="464"/>
      <c r="B35" s="465"/>
      <c r="C35" s="466"/>
      <c r="D35" s="467"/>
      <c r="E35" s="467"/>
      <c r="F35" s="467"/>
      <c r="G35" s="467"/>
      <c r="H35" s="468"/>
      <c r="I35" s="469"/>
      <c r="J35" s="469"/>
      <c r="K35" s="470">
        <f>SUM(K29:K34)</f>
        <v>0</v>
      </c>
      <c r="L35" s="470">
        <f t="shared" ref="L35:AX35" si="11">SUM(L29:L34)</f>
        <v>15</v>
      </c>
      <c r="M35" s="470">
        <f t="shared" si="11"/>
        <v>3</v>
      </c>
      <c r="N35" s="470">
        <f t="shared" si="11"/>
        <v>20</v>
      </c>
      <c r="O35" s="470">
        <f t="shared" si="11"/>
        <v>350</v>
      </c>
      <c r="P35" s="470">
        <f t="shared" si="11"/>
        <v>25</v>
      </c>
      <c r="Q35" s="470">
        <f t="shared" si="11"/>
        <v>30</v>
      </c>
      <c r="R35" s="470">
        <f t="shared" si="11"/>
        <v>20</v>
      </c>
      <c r="S35" s="470">
        <f t="shared" si="11"/>
        <v>65</v>
      </c>
      <c r="T35" s="470">
        <f t="shared" si="11"/>
        <v>126081</v>
      </c>
      <c r="U35" s="470">
        <f t="shared" si="11"/>
        <v>400</v>
      </c>
      <c r="V35" s="470">
        <f t="shared" si="11"/>
        <v>300</v>
      </c>
      <c r="W35" s="470">
        <f t="shared" si="11"/>
        <v>120000</v>
      </c>
      <c r="X35" s="470">
        <f t="shared" si="11"/>
        <v>140</v>
      </c>
      <c r="Y35" s="470">
        <f t="shared" si="11"/>
        <v>1350</v>
      </c>
      <c r="Z35" s="470">
        <f t="shared" si="11"/>
        <v>101000</v>
      </c>
      <c r="AA35" s="470">
        <f t="shared" si="11"/>
        <v>200</v>
      </c>
      <c r="AB35" s="470">
        <f t="shared" si="11"/>
        <v>1250</v>
      </c>
      <c r="AC35" s="470">
        <f t="shared" si="11"/>
        <v>250000</v>
      </c>
      <c r="AD35" s="470">
        <f t="shared" si="11"/>
        <v>0</v>
      </c>
      <c r="AE35" s="470">
        <f t="shared" si="11"/>
        <v>8311000</v>
      </c>
      <c r="AF35" s="470">
        <f t="shared" si="11"/>
        <v>0</v>
      </c>
      <c r="AG35" s="470">
        <f t="shared" si="11"/>
        <v>0</v>
      </c>
      <c r="AH35" s="470">
        <f t="shared" si="11"/>
        <v>4800000</v>
      </c>
      <c r="AI35" s="470">
        <f t="shared" si="11"/>
        <v>0</v>
      </c>
      <c r="AJ35" s="470">
        <f t="shared" si="11"/>
        <v>0</v>
      </c>
      <c r="AK35" s="470">
        <f t="shared" si="11"/>
        <v>0</v>
      </c>
      <c r="AL35" s="470">
        <f t="shared" si="11"/>
        <v>0</v>
      </c>
      <c r="AM35" s="470">
        <f t="shared" si="11"/>
        <v>13708081</v>
      </c>
      <c r="AN35" s="470">
        <f t="shared" si="11"/>
        <v>1974175</v>
      </c>
      <c r="AO35" s="470">
        <f t="shared" si="11"/>
        <v>0</v>
      </c>
      <c r="AP35" s="470">
        <f t="shared" si="11"/>
        <v>0</v>
      </c>
      <c r="AQ35" s="470">
        <f t="shared" si="11"/>
        <v>262906</v>
      </c>
      <c r="AR35" s="470">
        <f t="shared" si="11"/>
        <v>0</v>
      </c>
      <c r="AS35" s="470">
        <f t="shared" si="11"/>
        <v>11471000</v>
      </c>
      <c r="AT35" s="471"/>
      <c r="AU35" s="470">
        <f t="shared" si="11"/>
        <v>681000</v>
      </c>
      <c r="AV35" s="470">
        <f t="shared" si="11"/>
        <v>10536800</v>
      </c>
      <c r="AW35" s="470">
        <f t="shared" si="11"/>
        <v>2490281</v>
      </c>
      <c r="AX35" s="470">
        <f t="shared" si="11"/>
        <v>0</v>
      </c>
    </row>
    <row r="36" spans="1:50" ht="12" thickBot="1" x14ac:dyDescent="0.25">
      <c r="A36" s="22"/>
      <c r="B36" s="204"/>
      <c r="C36" s="201"/>
      <c r="D36" s="13"/>
      <c r="E36" s="14"/>
      <c r="F36" s="14"/>
      <c r="G36" s="14"/>
      <c r="H36" s="196"/>
      <c r="I36" s="33"/>
      <c r="J36" s="33"/>
      <c r="K36" s="197">
        <f>K14+K28+K35</f>
        <v>3435720</v>
      </c>
      <c r="L36" s="197"/>
      <c r="M36" s="197"/>
      <c r="N36" s="197"/>
      <c r="O36" s="197"/>
      <c r="P36" s="197"/>
      <c r="Q36" s="197"/>
      <c r="R36" s="197"/>
      <c r="S36" s="197"/>
      <c r="T36" s="197">
        <f t="shared" ref="T36:AX36" si="12">T14+T28+T35</f>
        <v>200256</v>
      </c>
      <c r="U36" s="197"/>
      <c r="V36" s="197"/>
      <c r="W36" s="197">
        <f t="shared" si="12"/>
        <v>3181000</v>
      </c>
      <c r="X36" s="197"/>
      <c r="Y36" s="197"/>
      <c r="Z36" s="197">
        <f t="shared" si="12"/>
        <v>7353246</v>
      </c>
      <c r="AA36" s="197"/>
      <c r="AB36" s="197"/>
      <c r="AC36" s="197">
        <f t="shared" si="12"/>
        <v>386728</v>
      </c>
      <c r="AD36" s="197">
        <f t="shared" si="12"/>
        <v>18282740</v>
      </c>
      <c r="AE36" s="197">
        <f t="shared" si="12"/>
        <v>8628015</v>
      </c>
      <c r="AF36" s="197">
        <f t="shared" si="12"/>
        <v>0</v>
      </c>
      <c r="AG36" s="197">
        <f t="shared" si="12"/>
        <v>0</v>
      </c>
      <c r="AH36" s="197">
        <f t="shared" si="12"/>
        <v>5172639</v>
      </c>
      <c r="AI36" s="197">
        <f t="shared" si="12"/>
        <v>0</v>
      </c>
      <c r="AJ36" s="197">
        <f t="shared" si="12"/>
        <v>0</v>
      </c>
      <c r="AK36" s="197">
        <f t="shared" si="12"/>
        <v>50640</v>
      </c>
      <c r="AL36" s="197">
        <f t="shared" si="12"/>
        <v>3792344</v>
      </c>
      <c r="AM36" s="197">
        <f t="shared" si="12"/>
        <v>50483328</v>
      </c>
      <c r="AN36" s="197">
        <f t="shared" si="12"/>
        <v>13699906.486199999</v>
      </c>
      <c r="AO36" s="197">
        <f t="shared" si="12"/>
        <v>1272242</v>
      </c>
      <c r="AP36" s="197">
        <f t="shared" si="12"/>
        <v>0</v>
      </c>
      <c r="AQ36" s="197">
        <f t="shared" si="12"/>
        <v>17332378</v>
      </c>
      <c r="AR36" s="197">
        <f t="shared" si="12"/>
        <v>916078</v>
      </c>
      <c r="AS36" s="197">
        <f t="shared" si="12"/>
        <v>17262723.513799999</v>
      </c>
      <c r="AT36" s="197"/>
      <c r="AU36" s="197">
        <f t="shared" si="12"/>
        <v>9162347</v>
      </c>
      <c r="AV36" s="197">
        <f t="shared" si="12"/>
        <v>26649050</v>
      </c>
      <c r="AW36" s="197">
        <f t="shared" si="12"/>
        <v>14671931.300000001</v>
      </c>
      <c r="AX36" s="197">
        <f t="shared" si="12"/>
        <v>0</v>
      </c>
    </row>
    <row r="37" spans="1:50" x14ac:dyDescent="0.2">
      <c r="AM37" s="35">
        <f>AM41-AM36</f>
        <v>360600.57142857462</v>
      </c>
    </row>
    <row r="38" spans="1:50" ht="45" x14ac:dyDescent="0.2">
      <c r="AH38" s="35">
        <f>K36+T36+W36+Z36+AC36+AD36+AE36+AH36+AK36+AL36</f>
        <v>50483328</v>
      </c>
      <c r="AK38" s="35" t="s">
        <v>218</v>
      </c>
      <c r="AM38" s="35">
        <v>44400000</v>
      </c>
      <c r="AN38" s="35">
        <v>9400000</v>
      </c>
      <c r="AO38" s="351">
        <v>2000000</v>
      </c>
      <c r="AP38" s="351"/>
      <c r="AQ38" s="356">
        <v>26520000</v>
      </c>
      <c r="AR38" s="351">
        <v>916077.6</v>
      </c>
      <c r="AS38" s="352">
        <f>AM41-AN40-AO38-AQ38-AR38</f>
        <v>5563922.4000000004</v>
      </c>
      <c r="AU38" s="35">
        <f>AS36-AS38</f>
        <v>11698801.113799999</v>
      </c>
      <c r="AX38" s="214"/>
    </row>
    <row r="39" spans="1:50" x14ac:dyDescent="0.2">
      <c r="AL39" s="60" t="s">
        <v>219</v>
      </c>
      <c r="AM39" s="35">
        <f>[1]Sheet2!I25</f>
        <v>3476278.5714285714</v>
      </c>
      <c r="AN39" s="35">
        <v>6443928.5714285709</v>
      </c>
    </row>
    <row r="40" spans="1:50" x14ac:dyDescent="0.2">
      <c r="AH40" s="35">
        <f>AM36-AH38</f>
        <v>0</v>
      </c>
      <c r="AL40" s="60" t="s">
        <v>220</v>
      </c>
      <c r="AM40" s="35">
        <f>[1]Sheet2!I26</f>
        <v>2967650</v>
      </c>
      <c r="AN40" s="351">
        <f>AN38+AN39</f>
        <v>15843928.571428571</v>
      </c>
    </row>
    <row r="41" spans="1:50" x14ac:dyDescent="0.2">
      <c r="AM41" s="60">
        <f>SUM(AM38:AM40)</f>
        <v>50843928.571428575</v>
      </c>
    </row>
    <row r="43" spans="1:50" ht="12.75" x14ac:dyDescent="0.2">
      <c r="AM43" s="365" t="s">
        <v>221</v>
      </c>
      <c r="AN43" s="364">
        <f>AN40-AN36</f>
        <v>2144022.0852285717</v>
      </c>
      <c r="AO43" s="364">
        <f>AO38-AO36</f>
        <v>727758</v>
      </c>
      <c r="AP43" s="364">
        <f>AP38-AP36</f>
        <v>0</v>
      </c>
      <c r="AQ43" s="364">
        <f>AQ38-AQ36</f>
        <v>9187622</v>
      </c>
      <c r="AR43" s="364">
        <f>AR38-AR36</f>
        <v>-0.40000000002328306</v>
      </c>
      <c r="AS43" s="364">
        <f>AS38-AS36</f>
        <v>-11698801.113799999</v>
      </c>
    </row>
    <row r="44" spans="1:50" x14ac:dyDescent="0.2">
      <c r="AN44" s="35" t="s">
        <v>30</v>
      </c>
    </row>
  </sheetData>
  <mergeCells count="38">
    <mergeCell ref="AU3:AX5"/>
    <mergeCell ref="B4:C7"/>
    <mergeCell ref="D4:E7"/>
    <mergeCell ref="H4:K5"/>
    <mergeCell ref="L4:T5"/>
    <mergeCell ref="U5:W5"/>
    <mergeCell ref="X5:Z5"/>
    <mergeCell ref="AF5:AH5"/>
    <mergeCell ref="AI5:AK5"/>
    <mergeCell ref="AO6:AR6"/>
    <mergeCell ref="AN3:AS5"/>
    <mergeCell ref="AM3:AM7"/>
    <mergeCell ref="U4:Z4"/>
    <mergeCell ref="AL3:AL7"/>
    <mergeCell ref="B2:Q2"/>
    <mergeCell ref="A3:E3"/>
    <mergeCell ref="H3:K3"/>
    <mergeCell ref="L3:AC3"/>
    <mergeCell ref="AD3:AK4"/>
    <mergeCell ref="A4:A7"/>
    <mergeCell ref="C10:C12"/>
    <mergeCell ref="G5:G7"/>
    <mergeCell ref="B15:AS15"/>
    <mergeCell ref="C16:C17"/>
    <mergeCell ref="AD5:AD7"/>
    <mergeCell ref="AE5:AE7"/>
    <mergeCell ref="A9:AS9"/>
    <mergeCell ref="B10:B12"/>
    <mergeCell ref="AA4:AC6"/>
    <mergeCell ref="C31:C33"/>
    <mergeCell ref="B31:B33"/>
    <mergeCell ref="C20:C21"/>
    <mergeCell ref="B20:B21"/>
    <mergeCell ref="B23:B25"/>
    <mergeCell ref="C23:C25"/>
    <mergeCell ref="B26:B27"/>
    <mergeCell ref="B29:E29"/>
    <mergeCell ref="C26:C27"/>
  </mergeCells>
  <pageMargins left="0.7" right="0.7" top="0.75" bottom="0.75" header="0.3" footer="0.3"/>
  <pageSetup orientation="portrait" horizontalDpi="4294967293" verticalDpi="429496729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0"/>
  <sheetViews>
    <sheetView topLeftCell="A10" zoomScale="123" zoomScaleNormal="123" workbookViewId="0">
      <selection activeCell="E15" sqref="E15"/>
    </sheetView>
  </sheetViews>
  <sheetFormatPr defaultColWidth="9.140625" defaultRowHeight="12.75" x14ac:dyDescent="0.25"/>
  <cols>
    <col min="1" max="1" width="5.7109375" style="312" customWidth="1"/>
    <col min="2" max="2" width="4.42578125" style="312" customWidth="1"/>
    <col min="3" max="3" width="21.140625" style="313" customWidth="1"/>
    <col min="4" max="4" width="5.28515625" style="314" customWidth="1"/>
    <col min="5" max="5" width="19.7109375" style="329" customWidth="1"/>
    <col min="6" max="6" width="14.85546875" style="315" customWidth="1"/>
    <col min="7" max="7" width="5.85546875" style="316" customWidth="1"/>
    <col min="8" max="8" width="7.7109375" style="317" customWidth="1"/>
    <col min="9" max="9" width="7.28515625" style="317" customWidth="1"/>
    <col min="10" max="10" width="9.7109375" style="316" customWidth="1"/>
    <col min="11" max="11" width="10" style="318" customWidth="1"/>
    <col min="12" max="12" width="9.42578125" style="318" customWidth="1"/>
    <col min="13" max="13" width="10.85546875" style="318" customWidth="1"/>
    <col min="14" max="14" width="11.85546875" style="318" customWidth="1"/>
    <col min="15" max="15" width="12.140625" style="318" customWidth="1"/>
    <col min="16" max="16" width="12.85546875" style="318" customWidth="1"/>
    <col min="17" max="18" width="11.42578125" style="318" customWidth="1"/>
    <col min="19" max="19" width="10.7109375" style="319" customWidth="1"/>
    <col min="20" max="20" width="9.28515625" style="320" customWidth="1"/>
    <col min="21" max="21" width="7.42578125" style="320" customWidth="1"/>
    <col min="22" max="22" width="9.7109375" style="319" customWidth="1"/>
    <col min="23" max="23" width="7.140625" style="321" customWidth="1"/>
    <col min="24" max="24" width="6.85546875" style="321" customWidth="1"/>
    <col min="25" max="25" width="10.28515625" style="321" customWidth="1"/>
    <col min="26" max="26" width="11.28515625" style="322" customWidth="1"/>
    <col min="27" max="27" width="10.28515625" style="322" customWidth="1"/>
    <col min="28" max="28" width="8.28515625" style="322" customWidth="1"/>
    <col min="29" max="29" width="15.28515625" style="322" customWidth="1"/>
    <col min="30" max="30" width="12.42578125" style="322" customWidth="1"/>
    <col min="31" max="31" width="7.28515625" style="322" customWidth="1"/>
    <col min="32" max="32" width="13.140625" style="322" customWidth="1"/>
    <col min="33" max="33" width="9.28515625" style="322" customWidth="1"/>
    <col min="34" max="34" width="6.85546875" style="322" customWidth="1"/>
    <col min="35" max="35" width="11" style="322" customWidth="1"/>
    <col min="36" max="36" width="10.7109375" style="322" customWidth="1"/>
    <col min="37" max="37" width="13.42578125" style="323" customWidth="1"/>
    <col min="38" max="38" width="10.42578125" style="321" customWidth="1"/>
    <col min="39" max="39" width="12.42578125" style="322" customWidth="1"/>
    <col min="40" max="41" width="10.140625" style="322" customWidth="1"/>
    <col min="42" max="43" width="9" style="322" customWidth="1"/>
    <col min="44" max="44" width="12.28515625" style="324" customWidth="1"/>
    <col min="45" max="46" width="9.85546875" style="298" bestFit="1" customWidth="1"/>
    <col min="47" max="47" width="11.85546875" style="299" customWidth="1"/>
    <col min="48" max="16384" width="9.140625" style="299"/>
  </cols>
  <sheetData>
    <row r="1" spans="1:46" s="231" customFormat="1" x14ac:dyDescent="0.25">
      <c r="A1" s="218"/>
      <c r="B1" s="218"/>
      <c r="C1" s="219"/>
      <c r="D1" s="220"/>
      <c r="E1" s="325"/>
      <c r="F1" s="221"/>
      <c r="G1" s="222"/>
      <c r="H1" s="223"/>
      <c r="I1" s="223"/>
      <c r="J1" s="222"/>
      <c r="K1" s="224"/>
      <c r="L1" s="224"/>
      <c r="M1" s="224"/>
      <c r="N1" s="224"/>
      <c r="O1" s="224"/>
      <c r="P1" s="224"/>
      <c r="Q1" s="224"/>
      <c r="R1" s="224"/>
      <c r="S1" s="225"/>
      <c r="T1" s="226"/>
      <c r="U1" s="226"/>
      <c r="V1" s="225"/>
      <c r="W1" s="227"/>
      <c r="X1" s="227"/>
      <c r="Y1" s="227"/>
      <c r="Z1" s="228"/>
      <c r="AA1" s="228"/>
      <c r="AB1" s="228"/>
      <c r="AC1" s="228"/>
      <c r="AD1" s="228"/>
      <c r="AE1" s="228"/>
      <c r="AF1" s="228"/>
      <c r="AG1" s="228"/>
      <c r="AH1" s="228"/>
      <c r="AI1" s="228"/>
      <c r="AJ1" s="228"/>
      <c r="AK1" s="229"/>
      <c r="AL1" s="227"/>
      <c r="AM1" s="228"/>
      <c r="AN1" s="228"/>
      <c r="AO1" s="228"/>
      <c r="AP1" s="228"/>
      <c r="AQ1" s="228"/>
      <c r="AR1" s="230"/>
      <c r="AS1" s="232"/>
      <c r="AT1" s="232"/>
    </row>
    <row r="2" spans="1:46" s="231" customFormat="1" ht="13.5" customHeight="1" thickBot="1" x14ac:dyDescent="0.3">
      <c r="A2" s="233"/>
      <c r="B2" s="960" t="s">
        <v>530</v>
      </c>
      <c r="C2" s="960"/>
      <c r="D2" s="960"/>
      <c r="E2" s="960"/>
      <c r="F2" s="960"/>
      <c r="G2" s="960"/>
      <c r="H2" s="960"/>
      <c r="I2" s="960"/>
      <c r="J2" s="960"/>
      <c r="K2" s="960"/>
      <c r="L2" s="960"/>
      <c r="M2" s="960"/>
      <c r="N2" s="960"/>
      <c r="O2" s="960"/>
      <c r="P2" s="960"/>
      <c r="Q2" s="234"/>
      <c r="R2" s="234"/>
      <c r="S2" s="233"/>
      <c r="T2" s="234"/>
      <c r="U2" s="234"/>
      <c r="V2" s="233"/>
      <c r="W2" s="233"/>
      <c r="X2" s="233"/>
      <c r="Y2" s="233"/>
      <c r="Z2" s="234"/>
      <c r="AA2" s="234"/>
      <c r="AB2" s="234"/>
      <c r="AC2" s="234"/>
      <c r="AD2" s="234"/>
      <c r="AE2" s="234"/>
      <c r="AF2" s="234"/>
      <c r="AG2" s="234"/>
      <c r="AH2" s="234"/>
      <c r="AI2" s="234"/>
      <c r="AJ2" s="234"/>
      <c r="AK2" s="233"/>
      <c r="AL2" s="227"/>
      <c r="AM2" s="228"/>
      <c r="AN2" s="228"/>
      <c r="AO2" s="228"/>
      <c r="AP2" s="228"/>
      <c r="AQ2" s="228"/>
      <c r="AR2" s="230"/>
      <c r="AS2" s="232"/>
      <c r="AT2" s="232"/>
    </row>
    <row r="3" spans="1:46" s="235" customFormat="1" ht="24.6" customHeight="1" x14ac:dyDescent="0.25">
      <c r="A3" s="1171"/>
      <c r="B3" s="1172"/>
      <c r="C3" s="1172"/>
      <c r="D3" s="1172"/>
      <c r="E3" s="1173"/>
      <c r="F3" s="762"/>
      <c r="G3" s="964" t="s">
        <v>294</v>
      </c>
      <c r="H3" s="965"/>
      <c r="I3" s="965"/>
      <c r="J3" s="966"/>
      <c r="K3" s="1174"/>
      <c r="L3" s="1175"/>
      <c r="M3" s="1175"/>
      <c r="N3" s="1175"/>
      <c r="O3" s="1175"/>
      <c r="P3" s="1175"/>
      <c r="Q3" s="1175"/>
      <c r="R3" s="1175"/>
      <c r="S3" s="1175"/>
      <c r="T3" s="1175"/>
      <c r="U3" s="1175"/>
      <c r="V3" s="1175"/>
      <c r="W3" s="1175"/>
      <c r="X3" s="1175"/>
      <c r="Y3" s="1175"/>
      <c r="Z3" s="1175"/>
      <c r="AA3" s="1175"/>
      <c r="AB3" s="1176"/>
      <c r="AC3" s="926" t="s">
        <v>313</v>
      </c>
      <c r="AD3" s="927"/>
      <c r="AE3" s="927"/>
      <c r="AF3" s="927"/>
      <c r="AG3" s="927"/>
      <c r="AH3" s="927"/>
      <c r="AI3" s="927"/>
      <c r="AJ3" s="928"/>
      <c r="AK3" s="938" t="s">
        <v>319</v>
      </c>
      <c r="AL3" s="938" t="s">
        <v>320</v>
      </c>
      <c r="AM3" s="917" t="s">
        <v>321</v>
      </c>
      <c r="AN3" s="917"/>
      <c r="AO3" s="917"/>
      <c r="AP3" s="917"/>
      <c r="AQ3" s="918"/>
      <c r="AR3" s="919"/>
      <c r="AS3" s="236"/>
      <c r="AT3" s="236"/>
    </row>
    <row r="4" spans="1:46" s="238" customFormat="1" ht="18" customHeight="1" x14ac:dyDescent="0.25">
      <c r="A4" s="943" t="s">
        <v>291</v>
      </c>
      <c r="B4" s="946" t="s">
        <v>214</v>
      </c>
      <c r="C4" s="947"/>
      <c r="D4" s="946" t="s">
        <v>292</v>
      </c>
      <c r="E4" s="947"/>
      <c r="F4" s="237"/>
      <c r="G4" s="1177" t="s">
        <v>295</v>
      </c>
      <c r="H4" s="1178"/>
      <c r="I4" s="1178"/>
      <c r="J4" s="1179"/>
      <c r="K4" s="1177" t="s">
        <v>269</v>
      </c>
      <c r="L4" s="1178"/>
      <c r="M4" s="1178"/>
      <c r="N4" s="1178"/>
      <c r="O4" s="1178"/>
      <c r="P4" s="1178"/>
      <c r="Q4" s="1178"/>
      <c r="R4" s="1178"/>
      <c r="S4" s="1179"/>
      <c r="T4" s="1183" t="s">
        <v>305</v>
      </c>
      <c r="U4" s="1184"/>
      <c r="V4" s="1184"/>
      <c r="W4" s="1184"/>
      <c r="X4" s="1184"/>
      <c r="Y4" s="1185"/>
      <c r="Z4" s="932" t="s">
        <v>308</v>
      </c>
      <c r="AA4" s="933"/>
      <c r="AB4" s="934"/>
      <c r="AC4" s="929"/>
      <c r="AD4" s="930"/>
      <c r="AE4" s="930"/>
      <c r="AF4" s="930"/>
      <c r="AG4" s="930"/>
      <c r="AH4" s="930"/>
      <c r="AI4" s="930"/>
      <c r="AJ4" s="931"/>
      <c r="AK4" s="939"/>
      <c r="AL4" s="939"/>
      <c r="AM4" s="920"/>
      <c r="AN4" s="920"/>
      <c r="AO4" s="920"/>
      <c r="AP4" s="920"/>
      <c r="AQ4" s="914"/>
      <c r="AR4" s="921"/>
      <c r="AS4" s="239"/>
      <c r="AT4" s="239"/>
    </row>
    <row r="5" spans="1:46" s="238" customFormat="1" ht="17.100000000000001" customHeight="1" x14ac:dyDescent="0.25">
      <c r="A5" s="944"/>
      <c r="B5" s="948"/>
      <c r="C5" s="949"/>
      <c r="D5" s="948"/>
      <c r="E5" s="949"/>
      <c r="F5" s="958" t="s">
        <v>293</v>
      </c>
      <c r="G5" s="1180"/>
      <c r="H5" s="1181"/>
      <c r="I5" s="1181"/>
      <c r="J5" s="1182"/>
      <c r="K5" s="1180"/>
      <c r="L5" s="1181"/>
      <c r="M5" s="1181"/>
      <c r="N5" s="1181"/>
      <c r="O5" s="1181"/>
      <c r="P5" s="1181"/>
      <c r="Q5" s="1181"/>
      <c r="R5" s="1181"/>
      <c r="S5" s="1182"/>
      <c r="T5" s="1183" t="s">
        <v>306</v>
      </c>
      <c r="U5" s="1184"/>
      <c r="V5" s="1185"/>
      <c r="W5" s="1186" t="s">
        <v>307</v>
      </c>
      <c r="X5" s="1187"/>
      <c r="Y5" s="1188"/>
      <c r="Z5" s="935"/>
      <c r="AA5" s="936"/>
      <c r="AB5" s="937"/>
      <c r="AC5" s="941" t="s">
        <v>272</v>
      </c>
      <c r="AD5" s="941" t="s">
        <v>314</v>
      </c>
      <c r="AE5" s="914" t="s">
        <v>274</v>
      </c>
      <c r="AF5" s="915"/>
      <c r="AG5" s="916"/>
      <c r="AH5" s="914" t="s">
        <v>318</v>
      </c>
      <c r="AI5" s="915"/>
      <c r="AJ5" s="916"/>
      <c r="AK5" s="939"/>
      <c r="AL5" s="939"/>
      <c r="AM5" s="920"/>
      <c r="AN5" s="920"/>
      <c r="AO5" s="920"/>
      <c r="AP5" s="920"/>
      <c r="AQ5" s="914"/>
      <c r="AR5" s="921"/>
      <c r="AS5" s="239"/>
      <c r="AT5" s="239"/>
    </row>
    <row r="6" spans="1:46" s="240" customFormat="1" ht="38.25" customHeight="1" x14ac:dyDescent="0.25">
      <c r="A6" s="945"/>
      <c r="B6" s="950"/>
      <c r="C6" s="951"/>
      <c r="D6" s="950"/>
      <c r="E6" s="951"/>
      <c r="F6" s="959"/>
      <c r="G6" s="763" t="s">
        <v>369</v>
      </c>
      <c r="H6" s="732" t="s">
        <v>296</v>
      </c>
      <c r="I6" s="732" t="s">
        <v>297</v>
      </c>
      <c r="J6" s="732" t="s">
        <v>298</v>
      </c>
      <c r="K6" s="732" t="s">
        <v>299</v>
      </c>
      <c r="L6" s="732" t="s">
        <v>300</v>
      </c>
      <c r="M6" s="732" t="s">
        <v>301</v>
      </c>
      <c r="N6" s="732" t="s">
        <v>302</v>
      </c>
      <c r="O6" s="732" t="s">
        <v>303</v>
      </c>
      <c r="P6" s="732" t="s">
        <v>304</v>
      </c>
      <c r="Q6" s="732" t="s">
        <v>370</v>
      </c>
      <c r="R6" s="732"/>
      <c r="S6" s="733" t="s">
        <v>298</v>
      </c>
      <c r="T6" s="732" t="s">
        <v>309</v>
      </c>
      <c r="U6" s="763" t="s">
        <v>310</v>
      </c>
      <c r="V6" s="763" t="s">
        <v>1</v>
      </c>
      <c r="W6" s="732" t="s">
        <v>309</v>
      </c>
      <c r="X6" s="763" t="s">
        <v>310</v>
      </c>
      <c r="Y6" s="763" t="s">
        <v>0</v>
      </c>
      <c r="Z6" s="795" t="s">
        <v>311</v>
      </c>
      <c r="AA6" s="795" t="s">
        <v>312</v>
      </c>
      <c r="AB6" s="795" t="s">
        <v>0</v>
      </c>
      <c r="AC6" s="942"/>
      <c r="AD6" s="942"/>
      <c r="AE6" s="795" t="s">
        <v>315</v>
      </c>
      <c r="AF6" s="795" t="s">
        <v>316</v>
      </c>
      <c r="AG6" s="795" t="s">
        <v>298</v>
      </c>
      <c r="AH6" s="795" t="s">
        <v>317</v>
      </c>
      <c r="AI6" s="795" t="s">
        <v>316</v>
      </c>
      <c r="AJ6" s="795" t="s">
        <v>298</v>
      </c>
      <c r="AK6" s="940"/>
      <c r="AL6" s="940"/>
      <c r="AM6" s="585" t="s">
        <v>286</v>
      </c>
      <c r="AN6" s="586" t="s">
        <v>287</v>
      </c>
      <c r="AO6" s="586" t="s">
        <v>322</v>
      </c>
      <c r="AP6" s="586" t="s">
        <v>288</v>
      </c>
      <c r="AQ6" s="795" t="s">
        <v>198</v>
      </c>
      <c r="AR6" s="796" t="s">
        <v>258</v>
      </c>
      <c r="AS6" s="241"/>
      <c r="AT6" s="241"/>
    </row>
    <row r="7" spans="1:46" s="245" customFormat="1" x14ac:dyDescent="0.25">
      <c r="A7" s="764" t="s">
        <v>3</v>
      </c>
      <c r="B7" s="765" t="s">
        <v>5</v>
      </c>
      <c r="C7" s="242" t="s">
        <v>6</v>
      </c>
      <c r="D7" s="765" t="s">
        <v>7</v>
      </c>
      <c r="E7" s="326" t="s">
        <v>8</v>
      </c>
      <c r="F7" s="766"/>
      <c r="G7" s="243">
        <v>1</v>
      </c>
      <c r="H7" s="243">
        <v>2</v>
      </c>
      <c r="I7" s="243">
        <v>3</v>
      </c>
      <c r="J7" s="243">
        <v>4</v>
      </c>
      <c r="K7" s="243">
        <v>5</v>
      </c>
      <c r="L7" s="243">
        <v>6</v>
      </c>
      <c r="M7" s="243">
        <v>7</v>
      </c>
      <c r="N7" s="243">
        <v>8</v>
      </c>
      <c r="O7" s="243">
        <v>9</v>
      </c>
      <c r="P7" s="243">
        <v>10</v>
      </c>
      <c r="Q7" s="243">
        <v>11</v>
      </c>
      <c r="R7" s="243">
        <v>12</v>
      </c>
      <c r="S7" s="243">
        <v>13</v>
      </c>
      <c r="T7" s="243">
        <v>14</v>
      </c>
      <c r="U7" s="243">
        <v>15</v>
      </c>
      <c r="V7" s="243">
        <v>16</v>
      </c>
      <c r="W7" s="243">
        <v>17</v>
      </c>
      <c r="X7" s="243">
        <v>18</v>
      </c>
      <c r="Y7" s="243">
        <v>19</v>
      </c>
      <c r="Z7" s="243">
        <v>20</v>
      </c>
      <c r="AA7" s="243">
        <v>21</v>
      </c>
      <c r="AB7" s="243">
        <v>22</v>
      </c>
      <c r="AC7" s="243">
        <v>23</v>
      </c>
      <c r="AD7" s="243">
        <v>24</v>
      </c>
      <c r="AE7" s="243">
        <v>25</v>
      </c>
      <c r="AF7" s="243">
        <v>26</v>
      </c>
      <c r="AG7" s="243">
        <v>27</v>
      </c>
      <c r="AH7" s="243">
        <v>28</v>
      </c>
      <c r="AI7" s="243">
        <v>29</v>
      </c>
      <c r="AJ7" s="243">
        <v>30</v>
      </c>
      <c r="AK7" s="243">
        <v>31</v>
      </c>
      <c r="AL7" s="243">
        <v>32</v>
      </c>
      <c r="AM7" s="243">
        <v>33</v>
      </c>
      <c r="AN7" s="243">
        <v>34</v>
      </c>
      <c r="AO7" s="243">
        <v>35</v>
      </c>
      <c r="AP7" s="243">
        <v>36</v>
      </c>
      <c r="AQ7" s="243">
        <v>37</v>
      </c>
      <c r="AR7" s="243">
        <v>38</v>
      </c>
      <c r="AS7" s="246"/>
      <c r="AT7" s="246"/>
    </row>
    <row r="8" spans="1:46" s="245" customFormat="1" ht="32.25" customHeight="1" x14ac:dyDescent="0.25">
      <c r="A8" s="1190" t="s">
        <v>531</v>
      </c>
      <c r="B8" s="1191"/>
      <c r="C8" s="1191"/>
      <c r="D8" s="1191"/>
      <c r="E8" s="1192"/>
      <c r="F8" s="398"/>
      <c r="G8" s="247"/>
      <c r="H8" s="247"/>
      <c r="I8" s="247"/>
      <c r="J8" s="247"/>
      <c r="K8" s="247"/>
      <c r="L8" s="247"/>
      <c r="M8" s="247"/>
      <c r="N8" s="247"/>
      <c r="O8" s="247"/>
      <c r="P8" s="247"/>
      <c r="Q8" s="247"/>
      <c r="R8" s="247"/>
      <c r="S8" s="248"/>
      <c r="T8" s="247"/>
      <c r="U8" s="247"/>
      <c r="V8" s="248"/>
      <c r="W8" s="247"/>
      <c r="X8" s="247"/>
      <c r="Y8" s="247"/>
      <c r="Z8" s="247"/>
      <c r="AA8" s="247"/>
      <c r="AB8" s="247"/>
      <c r="AC8" s="247"/>
      <c r="AD8" s="247"/>
      <c r="AE8" s="247"/>
      <c r="AF8" s="247"/>
      <c r="AG8" s="247"/>
      <c r="AH8" s="247"/>
      <c r="AI8" s="247"/>
      <c r="AJ8" s="247"/>
      <c r="AK8" s="247"/>
      <c r="AL8" s="247"/>
      <c r="AM8" s="247"/>
      <c r="AN8" s="247"/>
      <c r="AO8" s="247"/>
      <c r="AP8" s="247"/>
      <c r="AQ8" s="247"/>
      <c r="AR8" s="247"/>
      <c r="AS8" s="246"/>
      <c r="AT8" s="246"/>
    </row>
    <row r="9" spans="1:46" s="259" customFormat="1" ht="93.75" customHeight="1" x14ac:dyDescent="0.25">
      <c r="A9" s="978"/>
      <c r="B9" s="977">
        <v>4.3</v>
      </c>
      <c r="C9" s="925" t="s">
        <v>650</v>
      </c>
      <c r="D9" s="250" t="s">
        <v>56</v>
      </c>
      <c r="E9" s="249" t="s">
        <v>532</v>
      </c>
      <c r="F9" s="250" t="s">
        <v>533</v>
      </c>
      <c r="G9" s="252"/>
      <c r="H9" s="252"/>
      <c r="I9" s="252"/>
      <c r="J9" s="253">
        <f>G9*H9*I9</f>
        <v>0</v>
      </c>
      <c r="K9" s="252">
        <v>9</v>
      </c>
      <c r="L9" s="252">
        <v>3</v>
      </c>
      <c r="M9" s="252">
        <v>20</v>
      </c>
      <c r="N9" s="252">
        <v>250</v>
      </c>
      <c r="O9" s="252">
        <v>20</v>
      </c>
      <c r="P9" s="252">
        <v>30</v>
      </c>
      <c r="Q9" s="252">
        <v>20</v>
      </c>
      <c r="R9" s="252"/>
      <c r="S9" s="254">
        <f>(K9*L9*N9)+(K9*L9*M9*O9)+(K9*L9*M9*P9)+(K9*M9*Q9)+(K9*L9*R9)</f>
        <v>37350</v>
      </c>
      <c r="T9" s="252"/>
      <c r="U9" s="252"/>
      <c r="V9" s="255">
        <v>50000</v>
      </c>
      <c r="W9" s="252" t="s">
        <v>30</v>
      </c>
      <c r="X9" s="252"/>
      <c r="Y9" s="255">
        <f>300000-S9</f>
        <v>262650</v>
      </c>
      <c r="Z9" s="252"/>
      <c r="AA9" s="252"/>
      <c r="AB9" s="256">
        <f>Z9*AA9</f>
        <v>0</v>
      </c>
      <c r="AC9" s="257"/>
      <c r="AD9" s="257"/>
      <c r="AE9" s="252"/>
      <c r="AF9" s="252"/>
      <c r="AG9" s="256">
        <f>AE9*AF9</f>
        <v>0</v>
      </c>
      <c r="AH9" s="252"/>
      <c r="AI9" s="252"/>
      <c r="AJ9" s="256">
        <f>AH9*AI9</f>
        <v>0</v>
      </c>
      <c r="AK9" s="262"/>
      <c r="AL9" s="255">
        <f t="shared" ref="AL9:AL15" si="0">J9+S9+V9+Y9+AB9+AG9+AJ9+AK9+AC9+AD9</f>
        <v>350000</v>
      </c>
      <c r="AM9" s="252"/>
      <c r="AN9" s="263">
        <v>300000</v>
      </c>
      <c r="AO9" s="263">
        <v>50000</v>
      </c>
      <c r="AP9" s="252"/>
      <c r="AQ9" s="252"/>
      <c r="AR9" s="258">
        <f t="shared" ref="AR9:AR15" si="1">AL9-AM9-AN9-AO9-AP9-AQ9</f>
        <v>0</v>
      </c>
      <c r="AS9" s="261"/>
      <c r="AT9" s="261"/>
    </row>
    <row r="10" spans="1:46" s="259" customFormat="1" ht="54" customHeight="1" x14ac:dyDescent="0.25">
      <c r="A10" s="978"/>
      <c r="B10" s="978"/>
      <c r="C10" s="925"/>
      <c r="D10" s="250" t="s">
        <v>169</v>
      </c>
      <c r="E10" s="353" t="s">
        <v>535</v>
      </c>
      <c r="F10" s="250" t="s">
        <v>534</v>
      </c>
      <c r="G10" s="252"/>
      <c r="H10" s="252"/>
      <c r="I10" s="252"/>
      <c r="J10" s="253"/>
      <c r="K10" s="252"/>
      <c r="L10" s="252"/>
      <c r="M10" s="252"/>
      <c r="N10" s="252"/>
      <c r="O10" s="252"/>
      <c r="P10" s="252"/>
      <c r="Q10" s="252"/>
      <c r="R10" s="252"/>
      <c r="S10" s="254">
        <f>(K10*L10*N10)+(K10*L10*M10*O10)+(K10*L10*M10*P10)+(K10*M10*Q10)+(K10*L10*R10)</f>
        <v>0</v>
      </c>
      <c r="T10" s="252"/>
      <c r="U10" s="252"/>
      <c r="V10" s="255"/>
      <c r="W10" s="252"/>
      <c r="X10" s="252"/>
      <c r="Y10" s="255">
        <v>200000</v>
      </c>
      <c r="Z10" s="252"/>
      <c r="AA10" s="252"/>
      <c r="AB10" s="256"/>
      <c r="AC10" s="257"/>
      <c r="AD10" s="257"/>
      <c r="AE10" s="252"/>
      <c r="AF10" s="252"/>
      <c r="AG10" s="256"/>
      <c r="AH10" s="252"/>
      <c r="AI10" s="252"/>
      <c r="AJ10" s="256"/>
      <c r="AK10" s="262"/>
      <c r="AL10" s="255">
        <f t="shared" si="0"/>
        <v>200000</v>
      </c>
      <c r="AM10" s="252"/>
      <c r="AN10" s="263"/>
      <c r="AO10" s="263">
        <v>200000</v>
      </c>
      <c r="AP10" s="258"/>
      <c r="AQ10" s="258"/>
      <c r="AR10" s="258">
        <f t="shared" si="1"/>
        <v>0</v>
      </c>
      <c r="AS10" s="261"/>
      <c r="AT10" s="261"/>
    </row>
    <row r="11" spans="1:46" s="259" customFormat="1" ht="57.75" customHeight="1" x14ac:dyDescent="0.25">
      <c r="A11" s="978"/>
      <c r="B11" s="978"/>
      <c r="C11" s="925"/>
      <c r="D11" s="250" t="s">
        <v>195</v>
      </c>
      <c r="E11" s="353" t="s">
        <v>536</v>
      </c>
      <c r="F11" s="250" t="s">
        <v>537</v>
      </c>
      <c r="G11" s="252"/>
      <c r="H11" s="252"/>
      <c r="I11" s="252"/>
      <c r="J11" s="253"/>
      <c r="K11" s="252">
        <v>6</v>
      </c>
      <c r="L11" s="252">
        <v>5</v>
      </c>
      <c r="M11" s="252">
        <v>20</v>
      </c>
      <c r="N11" s="252">
        <v>250</v>
      </c>
      <c r="O11" s="252">
        <v>20</v>
      </c>
      <c r="P11" s="252">
        <v>30</v>
      </c>
      <c r="Q11" s="252">
        <v>20</v>
      </c>
      <c r="R11" s="252"/>
      <c r="S11" s="254">
        <f>(K11*L11*N11)+(K11*L11*M11*O11)+(K11*L11*M11*P11)+(K11*M11*Q11)+(K11*L11*R11)</f>
        <v>39900</v>
      </c>
      <c r="T11" s="252"/>
      <c r="U11" s="252"/>
      <c r="V11" s="255"/>
      <c r="W11" s="252"/>
      <c r="X11" s="252"/>
      <c r="Y11" s="255"/>
      <c r="Z11" s="252"/>
      <c r="AA11" s="252"/>
      <c r="AB11" s="256"/>
      <c r="AC11" s="257"/>
      <c r="AD11" s="257"/>
      <c r="AE11" s="252"/>
      <c r="AF11" s="252"/>
      <c r="AG11" s="256"/>
      <c r="AH11" s="252"/>
      <c r="AI11" s="252"/>
      <c r="AJ11" s="256"/>
      <c r="AK11" s="262"/>
      <c r="AL11" s="255">
        <f t="shared" si="0"/>
        <v>39900</v>
      </c>
      <c r="AM11" s="252"/>
      <c r="AN11" s="263"/>
      <c r="AO11" s="263">
        <v>15000</v>
      </c>
      <c r="AP11" s="258"/>
      <c r="AQ11" s="258"/>
      <c r="AR11" s="258">
        <f t="shared" si="1"/>
        <v>24900</v>
      </c>
      <c r="AS11" s="261"/>
      <c r="AT11" s="261"/>
    </row>
    <row r="12" spans="1:46" s="259" customFormat="1" ht="45.75" customHeight="1" x14ac:dyDescent="0.25">
      <c r="A12" s="1193"/>
      <c r="B12" s="1193"/>
      <c r="C12" s="925"/>
      <c r="D12" s="250" t="s">
        <v>196</v>
      </c>
      <c r="E12" s="249" t="s">
        <v>538</v>
      </c>
      <c r="F12" s="399"/>
      <c r="G12" s="252"/>
      <c r="H12" s="252"/>
      <c r="I12" s="252"/>
      <c r="J12" s="253">
        <f>G12*H12*I12</f>
        <v>0</v>
      </c>
      <c r="K12" s="252"/>
      <c r="L12" s="252"/>
      <c r="M12" s="252"/>
      <c r="N12" s="252"/>
      <c r="O12" s="252"/>
      <c r="P12" s="252"/>
      <c r="Q12" s="252"/>
      <c r="R12" s="252"/>
      <c r="S12" s="254">
        <f>(K12*L12*N12)+(K12*L12*M12*O12)+(K12*L12*M12*P12)+(K12*M12*Q12)+(K12*L12*R12)</f>
        <v>0</v>
      </c>
      <c r="T12" s="252"/>
      <c r="U12" s="252"/>
      <c r="V12" s="255">
        <v>50000</v>
      </c>
      <c r="W12" s="252"/>
      <c r="X12" s="252"/>
      <c r="Y12" s="255">
        <v>50000</v>
      </c>
      <c r="Z12" s="252"/>
      <c r="AA12" s="252"/>
      <c r="AB12" s="256">
        <f>Z12*AA12</f>
        <v>0</v>
      </c>
      <c r="AC12" s="257"/>
      <c r="AD12" s="257"/>
      <c r="AE12" s="252"/>
      <c r="AF12" s="252"/>
      <c r="AG12" s="256">
        <v>100000</v>
      </c>
      <c r="AH12" s="252"/>
      <c r="AI12" s="252"/>
      <c r="AJ12" s="256">
        <f>AH12*AI12</f>
        <v>0</v>
      </c>
      <c r="AK12" s="257"/>
      <c r="AL12" s="255">
        <f t="shared" si="0"/>
        <v>200000</v>
      </c>
      <c r="AM12" s="252"/>
      <c r="AN12" s="263">
        <v>200000</v>
      </c>
      <c r="AO12" s="263"/>
      <c r="AP12" s="252"/>
      <c r="AQ12" s="252"/>
      <c r="AR12" s="258">
        <f t="shared" si="1"/>
        <v>0</v>
      </c>
      <c r="AS12" s="261"/>
      <c r="AT12" s="261"/>
    </row>
    <row r="13" spans="1:46" s="259" customFormat="1" ht="22.5" customHeight="1" x14ac:dyDescent="0.25">
      <c r="A13" s="472"/>
      <c r="B13" s="472"/>
      <c r="C13" s="473"/>
      <c r="D13" s="474"/>
      <c r="E13" s="473"/>
      <c r="F13" s="475"/>
      <c r="G13" s="476"/>
      <c r="H13" s="476"/>
      <c r="I13" s="476"/>
      <c r="J13" s="477">
        <f t="shared" ref="J13:AR13" si="2">SUM(J9:J12)</f>
        <v>0</v>
      </c>
      <c r="K13" s="477">
        <f t="shared" si="2"/>
        <v>15</v>
      </c>
      <c r="L13" s="477">
        <f t="shared" si="2"/>
        <v>8</v>
      </c>
      <c r="M13" s="477">
        <f t="shared" si="2"/>
        <v>40</v>
      </c>
      <c r="N13" s="477">
        <f t="shared" si="2"/>
        <v>500</v>
      </c>
      <c r="O13" s="477">
        <f t="shared" si="2"/>
        <v>40</v>
      </c>
      <c r="P13" s="477">
        <f t="shared" si="2"/>
        <v>60</v>
      </c>
      <c r="Q13" s="477">
        <f t="shared" si="2"/>
        <v>40</v>
      </c>
      <c r="R13" s="477">
        <f t="shared" si="2"/>
        <v>0</v>
      </c>
      <c r="S13" s="477">
        <f t="shared" si="2"/>
        <v>77250</v>
      </c>
      <c r="T13" s="477">
        <f t="shared" si="2"/>
        <v>0</v>
      </c>
      <c r="U13" s="477">
        <f t="shared" si="2"/>
        <v>0</v>
      </c>
      <c r="V13" s="477">
        <f t="shared" si="2"/>
        <v>100000</v>
      </c>
      <c r="W13" s="477">
        <f t="shared" si="2"/>
        <v>0</v>
      </c>
      <c r="X13" s="477">
        <f t="shared" si="2"/>
        <v>0</v>
      </c>
      <c r="Y13" s="477">
        <f t="shared" si="2"/>
        <v>512650</v>
      </c>
      <c r="Z13" s="477">
        <f t="shared" si="2"/>
        <v>0</v>
      </c>
      <c r="AA13" s="477">
        <f t="shared" si="2"/>
        <v>0</v>
      </c>
      <c r="AB13" s="477">
        <f t="shared" si="2"/>
        <v>0</v>
      </c>
      <c r="AC13" s="477">
        <f t="shared" si="2"/>
        <v>0</v>
      </c>
      <c r="AD13" s="477">
        <f t="shared" si="2"/>
        <v>0</v>
      </c>
      <c r="AE13" s="477">
        <f t="shared" si="2"/>
        <v>0</v>
      </c>
      <c r="AF13" s="477">
        <f t="shared" si="2"/>
        <v>0</v>
      </c>
      <c r="AG13" s="477">
        <f t="shared" si="2"/>
        <v>100000</v>
      </c>
      <c r="AH13" s="477">
        <f t="shared" si="2"/>
        <v>0</v>
      </c>
      <c r="AI13" s="477">
        <f t="shared" si="2"/>
        <v>0</v>
      </c>
      <c r="AJ13" s="477">
        <f t="shared" si="2"/>
        <v>0</v>
      </c>
      <c r="AK13" s="477">
        <f t="shared" si="2"/>
        <v>0</v>
      </c>
      <c r="AL13" s="477">
        <f t="shared" si="2"/>
        <v>789900</v>
      </c>
      <c r="AM13" s="477">
        <f t="shared" si="2"/>
        <v>0</v>
      </c>
      <c r="AN13" s="477">
        <f t="shared" si="2"/>
        <v>500000</v>
      </c>
      <c r="AO13" s="477">
        <f t="shared" si="2"/>
        <v>265000</v>
      </c>
      <c r="AP13" s="477">
        <f t="shared" si="2"/>
        <v>0</v>
      </c>
      <c r="AQ13" s="477">
        <f t="shared" si="2"/>
        <v>0</v>
      </c>
      <c r="AR13" s="477">
        <f t="shared" si="2"/>
        <v>24900</v>
      </c>
      <c r="AS13" s="261"/>
      <c r="AT13" s="261"/>
    </row>
    <row r="14" spans="1:46" s="245" customFormat="1" ht="37.5" customHeight="1" x14ac:dyDescent="0.25">
      <c r="A14" s="1189" t="s">
        <v>539</v>
      </c>
      <c r="B14" s="1189"/>
      <c r="C14" s="1189"/>
      <c r="D14" s="1189"/>
      <c r="E14" s="1189"/>
      <c r="F14" s="247"/>
      <c r="G14" s="247"/>
      <c r="H14" s="247"/>
      <c r="I14" s="247"/>
      <c r="J14" s="247"/>
      <c r="K14" s="247"/>
      <c r="L14" s="247"/>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247"/>
      <c r="AM14" s="247"/>
      <c r="AN14" s="247"/>
      <c r="AO14" s="247"/>
      <c r="AP14" s="247"/>
      <c r="AQ14" s="247"/>
      <c r="AR14" s="247"/>
      <c r="AS14" s="246"/>
      <c r="AT14" s="246"/>
    </row>
    <row r="15" spans="1:46" ht="48" customHeight="1" x14ac:dyDescent="0.25">
      <c r="A15" s="330">
        <v>5</v>
      </c>
      <c r="B15" s="330">
        <v>5.3</v>
      </c>
      <c r="C15" s="412" t="s">
        <v>540</v>
      </c>
      <c r="D15" s="265"/>
      <c r="E15" s="249" t="s">
        <v>651</v>
      </c>
      <c r="F15" s="249"/>
      <c r="G15" s="413"/>
      <c r="H15" s="414"/>
      <c r="I15" s="414"/>
      <c r="J15" s="253">
        <f>G15*H15*I15</f>
        <v>0</v>
      </c>
      <c r="K15" s="268"/>
      <c r="L15" s="268"/>
      <c r="M15" s="268"/>
      <c r="N15" s="268"/>
      <c r="O15" s="268"/>
      <c r="P15" s="268"/>
      <c r="Q15" s="268"/>
      <c r="R15" s="268"/>
      <c r="S15" s="254">
        <f>322*500</f>
        <v>161000</v>
      </c>
      <c r="T15" s="269"/>
      <c r="U15" s="269"/>
      <c r="V15" s="255">
        <f>T15*U15</f>
        <v>0</v>
      </c>
      <c r="W15" s="270"/>
      <c r="X15" s="270"/>
      <c r="Y15" s="255">
        <f>W15*X15</f>
        <v>0</v>
      </c>
      <c r="Z15" s="271"/>
      <c r="AA15" s="271"/>
      <c r="AB15" s="256">
        <f>Z15*AA15</f>
        <v>0</v>
      </c>
      <c r="AC15" s="256">
        <f>322*15000</f>
        <v>4830000</v>
      </c>
      <c r="AD15" s="256">
        <f>(61*20000)+(322*1000)</f>
        <v>1542000</v>
      </c>
      <c r="AE15" s="413">
        <v>322</v>
      </c>
      <c r="AF15" s="413">
        <v>2500</v>
      </c>
      <c r="AG15" s="256">
        <f>AE15*AF15</f>
        <v>805000</v>
      </c>
      <c r="AH15" s="413"/>
      <c r="AI15" s="413"/>
      <c r="AJ15" s="256">
        <f>AH15*AI15</f>
        <v>0</v>
      </c>
      <c r="AK15" s="255"/>
      <c r="AL15" s="255">
        <f t="shared" si="0"/>
        <v>7338000</v>
      </c>
      <c r="AM15" s="272">
        <v>4300000</v>
      </c>
      <c r="AN15" s="272"/>
      <c r="AO15" s="272"/>
      <c r="AP15" s="272"/>
      <c r="AQ15" s="272"/>
      <c r="AR15" s="258">
        <f t="shared" si="1"/>
        <v>3038000</v>
      </c>
    </row>
    <row r="16" spans="1:46" x14ac:dyDescent="0.25">
      <c r="A16" s="300"/>
      <c r="B16" s="300"/>
      <c r="C16" s="310"/>
      <c r="D16" s="311"/>
      <c r="E16" s="328"/>
      <c r="F16" s="301"/>
      <c r="G16" s="302"/>
      <c r="H16" s="303"/>
      <c r="I16" s="303"/>
      <c r="J16" s="253">
        <f>J13+J15</f>
        <v>0</v>
      </c>
      <c r="K16" s="253">
        <f t="shared" ref="K16:AR16" si="3">K13+K15</f>
        <v>15</v>
      </c>
      <c r="L16" s="253">
        <f t="shared" si="3"/>
        <v>8</v>
      </c>
      <c r="M16" s="253">
        <f t="shared" si="3"/>
        <v>40</v>
      </c>
      <c r="N16" s="253">
        <f t="shared" si="3"/>
        <v>500</v>
      </c>
      <c r="O16" s="253">
        <f t="shared" si="3"/>
        <v>40</v>
      </c>
      <c r="P16" s="253">
        <f t="shared" si="3"/>
        <v>60</v>
      </c>
      <c r="Q16" s="253">
        <f t="shared" si="3"/>
        <v>40</v>
      </c>
      <c r="R16" s="253">
        <f t="shared" si="3"/>
        <v>0</v>
      </c>
      <c r="S16" s="253">
        <f t="shared" si="3"/>
        <v>238250</v>
      </c>
      <c r="T16" s="253">
        <f t="shared" si="3"/>
        <v>0</v>
      </c>
      <c r="U16" s="253">
        <f t="shared" si="3"/>
        <v>0</v>
      </c>
      <c r="V16" s="253">
        <f t="shared" si="3"/>
        <v>100000</v>
      </c>
      <c r="W16" s="253">
        <f t="shared" si="3"/>
        <v>0</v>
      </c>
      <c r="X16" s="253">
        <f t="shared" si="3"/>
        <v>0</v>
      </c>
      <c r="Y16" s="253">
        <f t="shared" si="3"/>
        <v>512650</v>
      </c>
      <c r="Z16" s="253">
        <f t="shared" si="3"/>
        <v>0</v>
      </c>
      <c r="AA16" s="253">
        <f t="shared" si="3"/>
        <v>0</v>
      </c>
      <c r="AB16" s="253">
        <f t="shared" si="3"/>
        <v>0</v>
      </c>
      <c r="AC16" s="253">
        <f t="shared" si="3"/>
        <v>4830000</v>
      </c>
      <c r="AD16" s="253">
        <f t="shared" si="3"/>
        <v>1542000</v>
      </c>
      <c r="AE16" s="253">
        <f t="shared" si="3"/>
        <v>322</v>
      </c>
      <c r="AF16" s="253">
        <f t="shared" si="3"/>
        <v>2500</v>
      </c>
      <c r="AG16" s="253">
        <f t="shared" si="3"/>
        <v>905000</v>
      </c>
      <c r="AH16" s="253">
        <f t="shared" si="3"/>
        <v>0</v>
      </c>
      <c r="AI16" s="253">
        <f t="shared" si="3"/>
        <v>0</v>
      </c>
      <c r="AJ16" s="253">
        <f t="shared" si="3"/>
        <v>0</v>
      </c>
      <c r="AK16" s="253">
        <f t="shared" si="3"/>
        <v>0</v>
      </c>
      <c r="AL16" s="253">
        <f t="shared" si="3"/>
        <v>8127900</v>
      </c>
      <c r="AM16" s="253">
        <f t="shared" si="3"/>
        <v>4300000</v>
      </c>
      <c r="AN16" s="253">
        <f t="shared" si="3"/>
        <v>500000</v>
      </c>
      <c r="AO16" s="253">
        <f t="shared" si="3"/>
        <v>265000</v>
      </c>
      <c r="AP16" s="253">
        <f t="shared" si="3"/>
        <v>0</v>
      </c>
      <c r="AQ16" s="253">
        <f t="shared" si="3"/>
        <v>0</v>
      </c>
      <c r="AR16" s="253">
        <f t="shared" si="3"/>
        <v>3062900</v>
      </c>
    </row>
    <row r="18" spans="38:44" x14ac:dyDescent="0.25">
      <c r="AL18" s="321">
        <f>AM16+AN16+AO16+AP16+AQ16+AR16</f>
        <v>8127900</v>
      </c>
      <c r="AR18" s="322"/>
    </row>
    <row r="20" spans="38:44" ht="12.75" customHeight="1" x14ac:dyDescent="0.25"/>
  </sheetData>
  <mergeCells count="27">
    <mergeCell ref="A14:E14"/>
    <mergeCell ref="AD5:AD6"/>
    <mergeCell ref="AE5:AG5"/>
    <mergeCell ref="AH5:AJ5"/>
    <mergeCell ref="A8:E8"/>
    <mergeCell ref="A9:A12"/>
    <mergeCell ref="B9:B12"/>
    <mergeCell ref="C9:C12"/>
    <mergeCell ref="F5:F6"/>
    <mergeCell ref="T5:V5"/>
    <mergeCell ref="AL3:AL6"/>
    <mergeCell ref="AM3:AR5"/>
    <mergeCell ref="A4:A6"/>
    <mergeCell ref="B4:C6"/>
    <mergeCell ref="D4:E6"/>
    <mergeCell ref="G4:J5"/>
    <mergeCell ref="K4:S5"/>
    <mergeCell ref="T4:Y4"/>
    <mergeCell ref="Z4:AB5"/>
    <mergeCell ref="AK3:AK6"/>
    <mergeCell ref="W5:Y5"/>
    <mergeCell ref="AC5:AC6"/>
    <mergeCell ref="B2:P2"/>
    <mergeCell ref="A3:E3"/>
    <mergeCell ref="G3:J3"/>
    <mergeCell ref="K3:AB3"/>
    <mergeCell ref="AC3:AJ4"/>
  </mergeCells>
  <pageMargins left="0.7" right="0.7" top="0.75" bottom="0.75" header="0.3" footer="0.3"/>
  <pageSetup orientation="portrait" horizontalDpi="4294967293" verticalDpi="429496729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8"/>
  <sheetViews>
    <sheetView topLeftCell="A11" zoomScale="130" zoomScaleNormal="130" workbookViewId="0">
      <selection activeCell="F19" sqref="F19"/>
    </sheetView>
  </sheetViews>
  <sheetFormatPr defaultColWidth="9.140625" defaultRowHeight="12.75" x14ac:dyDescent="0.25"/>
  <cols>
    <col min="1" max="1" width="5.42578125" style="312" customWidth="1"/>
    <col min="2" max="2" width="4.42578125" style="312" customWidth="1"/>
    <col min="3" max="3" width="21.140625" style="313" customWidth="1"/>
    <col min="4" max="4" width="5.28515625" style="314" customWidth="1"/>
    <col min="5" max="5" width="19.7109375" style="329" customWidth="1"/>
    <col min="6" max="6" width="17.42578125" style="315" customWidth="1"/>
    <col min="7" max="7" width="5.85546875" style="316" customWidth="1"/>
    <col min="8" max="8" width="7.7109375" style="317" customWidth="1"/>
    <col min="9" max="9" width="7.28515625" style="317" customWidth="1"/>
    <col min="10" max="10" width="9.7109375" style="316" customWidth="1"/>
    <col min="11" max="11" width="10" style="318" customWidth="1"/>
    <col min="12" max="12" width="9.42578125" style="318" customWidth="1"/>
    <col min="13" max="13" width="10.85546875" style="318" customWidth="1"/>
    <col min="14" max="14" width="11.85546875" style="318" customWidth="1"/>
    <col min="15" max="15" width="12.140625" style="318" customWidth="1"/>
    <col min="16" max="16" width="12.85546875" style="318" customWidth="1"/>
    <col min="17" max="17" width="17.7109375" style="318" customWidth="1"/>
    <col min="18" max="18" width="11.42578125" style="318" customWidth="1"/>
    <col min="19" max="19" width="10.7109375" style="319" customWidth="1"/>
    <col min="20" max="20" width="9.28515625" style="320" customWidth="1"/>
    <col min="21" max="21" width="7.42578125" style="320" customWidth="1"/>
    <col min="22" max="22" width="9.7109375" style="319" customWidth="1"/>
    <col min="23" max="23" width="10" style="321" customWidth="1"/>
    <col min="24" max="24" width="6.85546875" style="321" customWidth="1"/>
    <col min="25" max="25" width="10.28515625" style="321" customWidth="1"/>
    <col min="26" max="26" width="11.28515625" style="322" customWidth="1"/>
    <col min="27" max="27" width="10.28515625" style="322" customWidth="1"/>
    <col min="28" max="28" width="8.28515625" style="322" customWidth="1"/>
    <col min="29" max="29" width="15.28515625" style="322" customWidth="1"/>
    <col min="30" max="30" width="12.42578125" style="322" customWidth="1"/>
    <col min="31" max="31" width="7.28515625" style="322" customWidth="1"/>
    <col min="32" max="32" width="13.140625" style="322" customWidth="1"/>
    <col min="33" max="33" width="9.28515625" style="322" customWidth="1"/>
    <col min="34" max="34" width="6.85546875" style="322" customWidth="1"/>
    <col min="35" max="35" width="11" style="322" customWidth="1"/>
    <col min="36" max="36" width="10.7109375" style="322" customWidth="1"/>
    <col min="37" max="37" width="13.42578125" style="323" customWidth="1"/>
    <col min="38" max="38" width="10.42578125" style="321" customWidth="1"/>
    <col min="39" max="39" width="12.42578125" style="411" customWidth="1"/>
    <col min="40" max="41" width="10.140625" style="322" customWidth="1"/>
    <col min="42" max="43" width="9" style="322" customWidth="1"/>
    <col min="44" max="44" width="12.28515625" style="324" customWidth="1"/>
    <col min="45" max="45" width="9.85546875" style="298" bestFit="1" customWidth="1"/>
    <col min="46" max="46" width="11.85546875" style="299" customWidth="1"/>
    <col min="47" max="16384" width="9.140625" style="299"/>
  </cols>
  <sheetData>
    <row r="1" spans="1:45" s="231" customFormat="1" x14ac:dyDescent="0.25">
      <c r="A1" s="218"/>
      <c r="B1" s="218"/>
      <c r="C1" s="219"/>
      <c r="D1" s="220"/>
      <c r="E1" s="325"/>
      <c r="F1" s="221"/>
      <c r="G1" s="222"/>
      <c r="H1" s="223"/>
      <c r="I1" s="223"/>
      <c r="J1" s="222"/>
      <c r="K1" s="224"/>
      <c r="L1" s="224"/>
      <c r="M1" s="224"/>
      <c r="N1" s="224"/>
      <c r="O1" s="224"/>
      <c r="P1" s="224"/>
      <c r="Q1" s="224"/>
      <c r="R1" s="224"/>
      <c r="S1" s="225"/>
      <c r="T1" s="226"/>
      <c r="U1" s="226"/>
      <c r="V1" s="225"/>
      <c r="W1" s="227"/>
      <c r="X1" s="227"/>
      <c r="Y1" s="227"/>
      <c r="Z1" s="228"/>
      <c r="AA1" s="228"/>
      <c r="AB1" s="228"/>
      <c r="AC1" s="228"/>
      <c r="AD1" s="228"/>
      <c r="AE1" s="228"/>
      <c r="AF1" s="228"/>
      <c r="AG1" s="228"/>
      <c r="AH1" s="228"/>
      <c r="AI1" s="228"/>
      <c r="AJ1" s="228"/>
      <c r="AK1" s="229"/>
      <c r="AL1" s="227"/>
      <c r="AM1" s="408"/>
      <c r="AN1" s="228"/>
      <c r="AO1" s="228"/>
      <c r="AP1" s="228"/>
      <c r="AQ1" s="228"/>
      <c r="AR1" s="230"/>
      <c r="AS1" s="232"/>
    </row>
    <row r="2" spans="1:45" s="231" customFormat="1" ht="13.5" customHeight="1" thickBot="1" x14ac:dyDescent="0.3">
      <c r="A2" s="233"/>
      <c r="B2" s="960"/>
      <c r="C2" s="960"/>
      <c r="D2" s="960"/>
      <c r="E2" s="960"/>
      <c r="F2" s="960"/>
      <c r="G2" s="960"/>
      <c r="H2" s="960"/>
      <c r="I2" s="960"/>
      <c r="J2" s="960"/>
      <c r="K2" s="960"/>
      <c r="L2" s="960"/>
      <c r="M2" s="960"/>
      <c r="N2" s="960"/>
      <c r="O2" s="960"/>
      <c r="P2" s="960"/>
      <c r="Q2" s="234"/>
      <c r="R2" s="234"/>
      <c r="S2" s="233"/>
      <c r="T2" s="234"/>
      <c r="U2" s="234"/>
      <c r="V2" s="233"/>
      <c r="W2" s="233"/>
      <c r="X2" s="233"/>
      <c r="Y2" s="233"/>
      <c r="Z2" s="234"/>
      <c r="AA2" s="234"/>
      <c r="AB2" s="234"/>
      <c r="AC2" s="234"/>
      <c r="AD2" s="234"/>
      <c r="AE2" s="234"/>
      <c r="AF2" s="234"/>
      <c r="AG2" s="234"/>
      <c r="AH2" s="234"/>
      <c r="AI2" s="234"/>
      <c r="AJ2" s="234"/>
      <c r="AK2" s="233"/>
      <c r="AL2" s="227"/>
      <c r="AM2" s="408"/>
      <c r="AN2" s="228"/>
      <c r="AO2" s="228"/>
      <c r="AP2" s="228"/>
      <c r="AQ2" s="228"/>
      <c r="AR2" s="230"/>
      <c r="AS2" s="232"/>
    </row>
    <row r="3" spans="1:45" s="235" customFormat="1" ht="24.6" customHeight="1" x14ac:dyDescent="0.25">
      <c r="A3" s="961"/>
      <c r="B3" s="962"/>
      <c r="C3" s="962"/>
      <c r="D3" s="962"/>
      <c r="E3" s="963"/>
      <c r="F3" s="751"/>
      <c r="G3" s="964" t="s">
        <v>294</v>
      </c>
      <c r="H3" s="965"/>
      <c r="I3" s="965"/>
      <c r="J3" s="966"/>
      <c r="K3" s="964"/>
      <c r="L3" s="965"/>
      <c r="M3" s="965"/>
      <c r="N3" s="965"/>
      <c r="O3" s="965"/>
      <c r="P3" s="965"/>
      <c r="Q3" s="965"/>
      <c r="R3" s="965"/>
      <c r="S3" s="965"/>
      <c r="T3" s="965"/>
      <c r="U3" s="965"/>
      <c r="V3" s="965"/>
      <c r="W3" s="965"/>
      <c r="X3" s="965"/>
      <c r="Y3" s="965"/>
      <c r="Z3" s="965"/>
      <c r="AA3" s="965"/>
      <c r="AB3" s="966"/>
      <c r="AC3" s="926" t="s">
        <v>313</v>
      </c>
      <c r="AD3" s="927"/>
      <c r="AE3" s="927"/>
      <c r="AF3" s="927"/>
      <c r="AG3" s="927"/>
      <c r="AH3" s="927"/>
      <c r="AI3" s="927"/>
      <c r="AJ3" s="928"/>
      <c r="AK3" s="938" t="s">
        <v>319</v>
      </c>
      <c r="AL3" s="938" t="s">
        <v>320</v>
      </c>
      <c r="AM3" s="926" t="s">
        <v>321</v>
      </c>
      <c r="AN3" s="927"/>
      <c r="AO3" s="927"/>
      <c r="AP3" s="927"/>
      <c r="AQ3" s="927"/>
      <c r="AR3" s="1196"/>
      <c r="AS3" s="236"/>
    </row>
    <row r="4" spans="1:45" s="238" customFormat="1" ht="18" customHeight="1" x14ac:dyDescent="0.25">
      <c r="A4" s="943" t="s">
        <v>291</v>
      </c>
      <c r="B4" s="946" t="s">
        <v>214</v>
      </c>
      <c r="C4" s="947"/>
      <c r="D4" s="946" t="s">
        <v>292</v>
      </c>
      <c r="E4" s="947"/>
      <c r="F4" s="581"/>
      <c r="G4" s="1177" t="s">
        <v>295</v>
      </c>
      <c r="H4" s="1178"/>
      <c r="I4" s="1178"/>
      <c r="J4" s="1179"/>
      <c r="K4" s="1177" t="s">
        <v>269</v>
      </c>
      <c r="L4" s="1178"/>
      <c r="M4" s="1178"/>
      <c r="N4" s="1178"/>
      <c r="O4" s="1178"/>
      <c r="P4" s="1178"/>
      <c r="Q4" s="1178"/>
      <c r="R4" s="1178"/>
      <c r="S4" s="1179"/>
      <c r="T4" s="1183" t="s">
        <v>305</v>
      </c>
      <c r="U4" s="1184"/>
      <c r="V4" s="1184"/>
      <c r="W4" s="1184"/>
      <c r="X4" s="1184"/>
      <c r="Y4" s="1185"/>
      <c r="Z4" s="932" t="s">
        <v>308</v>
      </c>
      <c r="AA4" s="933"/>
      <c r="AB4" s="934"/>
      <c r="AC4" s="929"/>
      <c r="AD4" s="930"/>
      <c r="AE4" s="930"/>
      <c r="AF4" s="930"/>
      <c r="AG4" s="930"/>
      <c r="AH4" s="930"/>
      <c r="AI4" s="930"/>
      <c r="AJ4" s="931"/>
      <c r="AK4" s="939"/>
      <c r="AL4" s="939"/>
      <c r="AM4" s="929"/>
      <c r="AN4" s="930"/>
      <c r="AO4" s="930"/>
      <c r="AP4" s="930"/>
      <c r="AQ4" s="930"/>
      <c r="AR4" s="1197"/>
      <c r="AS4" s="239"/>
    </row>
    <row r="5" spans="1:45" s="238" customFormat="1" ht="17.100000000000001" customHeight="1" x14ac:dyDescent="0.25">
      <c r="A5" s="944"/>
      <c r="B5" s="948"/>
      <c r="C5" s="949"/>
      <c r="D5" s="948"/>
      <c r="E5" s="949"/>
      <c r="F5" s="958" t="s">
        <v>293</v>
      </c>
      <c r="G5" s="1180"/>
      <c r="H5" s="1181"/>
      <c r="I5" s="1181"/>
      <c r="J5" s="1182"/>
      <c r="K5" s="1180"/>
      <c r="L5" s="1181"/>
      <c r="M5" s="1181"/>
      <c r="N5" s="1181"/>
      <c r="O5" s="1181"/>
      <c r="P5" s="1181"/>
      <c r="Q5" s="1181"/>
      <c r="R5" s="1181"/>
      <c r="S5" s="1182"/>
      <c r="T5" s="1183" t="s">
        <v>306</v>
      </c>
      <c r="U5" s="1184"/>
      <c r="V5" s="1185"/>
      <c r="W5" s="1186" t="s">
        <v>307</v>
      </c>
      <c r="X5" s="1187"/>
      <c r="Y5" s="1188"/>
      <c r="Z5" s="935"/>
      <c r="AA5" s="936"/>
      <c r="AB5" s="937"/>
      <c r="AC5" s="941" t="s">
        <v>272</v>
      </c>
      <c r="AD5" s="941" t="s">
        <v>314</v>
      </c>
      <c r="AE5" s="914" t="s">
        <v>274</v>
      </c>
      <c r="AF5" s="915"/>
      <c r="AG5" s="916"/>
      <c r="AH5" s="914" t="s">
        <v>318</v>
      </c>
      <c r="AI5" s="915"/>
      <c r="AJ5" s="916"/>
      <c r="AK5" s="939"/>
      <c r="AL5" s="939"/>
      <c r="AM5" s="1198"/>
      <c r="AN5" s="1199"/>
      <c r="AO5" s="1199"/>
      <c r="AP5" s="1199"/>
      <c r="AQ5" s="1199"/>
      <c r="AR5" s="1200"/>
      <c r="AS5" s="239"/>
    </row>
    <row r="6" spans="1:45" s="240" customFormat="1" ht="38.25" customHeight="1" x14ac:dyDescent="0.25">
      <c r="A6" s="945"/>
      <c r="B6" s="950"/>
      <c r="C6" s="951"/>
      <c r="D6" s="950"/>
      <c r="E6" s="951"/>
      <c r="F6" s="959"/>
      <c r="G6" s="763" t="s">
        <v>369</v>
      </c>
      <c r="H6" s="732" t="s">
        <v>296</v>
      </c>
      <c r="I6" s="732" t="s">
        <v>297</v>
      </c>
      <c r="J6" s="732" t="s">
        <v>298</v>
      </c>
      <c r="K6" s="732" t="s">
        <v>299</v>
      </c>
      <c r="L6" s="732" t="s">
        <v>300</v>
      </c>
      <c r="M6" s="732" t="s">
        <v>301</v>
      </c>
      <c r="N6" s="732" t="s">
        <v>302</v>
      </c>
      <c r="O6" s="732" t="s">
        <v>303</v>
      </c>
      <c r="P6" s="732" t="s">
        <v>304</v>
      </c>
      <c r="Q6" s="732" t="s">
        <v>370</v>
      </c>
      <c r="R6" s="732"/>
      <c r="S6" s="733" t="s">
        <v>298</v>
      </c>
      <c r="T6" s="732" t="s">
        <v>309</v>
      </c>
      <c r="U6" s="763" t="s">
        <v>310</v>
      </c>
      <c r="V6" s="763" t="s">
        <v>1</v>
      </c>
      <c r="W6" s="732" t="s">
        <v>309</v>
      </c>
      <c r="X6" s="763" t="s">
        <v>310</v>
      </c>
      <c r="Y6" s="763" t="s">
        <v>0</v>
      </c>
      <c r="Z6" s="795" t="s">
        <v>311</v>
      </c>
      <c r="AA6" s="795" t="s">
        <v>312</v>
      </c>
      <c r="AB6" s="795" t="s">
        <v>0</v>
      </c>
      <c r="AC6" s="942"/>
      <c r="AD6" s="942"/>
      <c r="AE6" s="795" t="s">
        <v>315</v>
      </c>
      <c r="AF6" s="795" t="s">
        <v>316</v>
      </c>
      <c r="AG6" s="795" t="s">
        <v>298</v>
      </c>
      <c r="AH6" s="795" t="s">
        <v>317</v>
      </c>
      <c r="AI6" s="795" t="s">
        <v>316</v>
      </c>
      <c r="AJ6" s="795" t="s">
        <v>298</v>
      </c>
      <c r="AK6" s="940"/>
      <c r="AL6" s="940"/>
      <c r="AM6" s="585" t="s">
        <v>286</v>
      </c>
      <c r="AN6" s="586" t="s">
        <v>287</v>
      </c>
      <c r="AO6" s="586" t="s">
        <v>322</v>
      </c>
      <c r="AP6" s="586" t="s">
        <v>288</v>
      </c>
      <c r="AQ6" s="795" t="s">
        <v>198</v>
      </c>
      <c r="AR6" s="796" t="s">
        <v>258</v>
      </c>
      <c r="AS6" s="241"/>
    </row>
    <row r="7" spans="1:45" s="245" customFormat="1" x14ac:dyDescent="0.25">
      <c r="A7" s="750" t="s">
        <v>3</v>
      </c>
      <c r="B7" s="588" t="s">
        <v>5</v>
      </c>
      <c r="C7" s="589" t="s">
        <v>6</v>
      </c>
      <c r="D7" s="590" t="s">
        <v>7</v>
      </c>
      <c r="E7" s="591" t="s">
        <v>8</v>
      </c>
      <c r="F7" s="592"/>
      <c r="G7" s="593">
        <v>1</v>
      </c>
      <c r="H7" s="593">
        <v>2</v>
      </c>
      <c r="I7" s="593">
        <v>3</v>
      </c>
      <c r="J7" s="593">
        <v>4</v>
      </c>
      <c r="K7" s="593">
        <v>5</v>
      </c>
      <c r="L7" s="593">
        <v>6</v>
      </c>
      <c r="M7" s="593">
        <v>7</v>
      </c>
      <c r="N7" s="593">
        <v>8</v>
      </c>
      <c r="O7" s="593">
        <v>9</v>
      </c>
      <c r="P7" s="593">
        <v>10</v>
      </c>
      <c r="Q7" s="593">
        <v>11</v>
      </c>
      <c r="R7" s="593">
        <v>12</v>
      </c>
      <c r="S7" s="593">
        <v>13</v>
      </c>
      <c r="T7" s="593">
        <v>14</v>
      </c>
      <c r="U7" s="593">
        <v>15</v>
      </c>
      <c r="V7" s="593">
        <v>16</v>
      </c>
      <c r="W7" s="593">
        <v>17</v>
      </c>
      <c r="X7" s="593">
        <v>18</v>
      </c>
      <c r="Y7" s="593">
        <v>19</v>
      </c>
      <c r="Z7" s="593">
        <v>20</v>
      </c>
      <c r="AA7" s="593">
        <v>21</v>
      </c>
      <c r="AB7" s="593">
        <v>22</v>
      </c>
      <c r="AC7" s="593">
        <v>23</v>
      </c>
      <c r="AD7" s="593">
        <v>24</v>
      </c>
      <c r="AE7" s="593">
        <v>25</v>
      </c>
      <c r="AF7" s="593">
        <v>26</v>
      </c>
      <c r="AG7" s="593">
        <v>27</v>
      </c>
      <c r="AH7" s="593">
        <v>28</v>
      </c>
      <c r="AI7" s="593">
        <v>29</v>
      </c>
      <c r="AJ7" s="593">
        <v>30</v>
      </c>
      <c r="AK7" s="593">
        <v>31</v>
      </c>
      <c r="AL7" s="593">
        <v>32</v>
      </c>
      <c r="AM7" s="593">
        <v>33</v>
      </c>
      <c r="AN7" s="593">
        <v>34</v>
      </c>
      <c r="AO7" s="593">
        <v>35</v>
      </c>
      <c r="AP7" s="593">
        <v>36</v>
      </c>
      <c r="AQ7" s="593">
        <v>37</v>
      </c>
      <c r="AR7" s="593">
        <v>38</v>
      </c>
      <c r="AS7" s="246"/>
    </row>
    <row r="8" spans="1:45" s="259" customFormat="1" ht="28.5" customHeight="1" x14ac:dyDescent="0.25">
      <c r="A8" s="1194" t="s">
        <v>640</v>
      </c>
      <c r="B8" s="1194"/>
      <c r="C8" s="1194"/>
      <c r="D8" s="1194"/>
      <c r="E8" s="1194"/>
      <c r="F8" s="1194"/>
      <c r="G8" s="1194"/>
      <c r="H8" s="1194"/>
      <c r="I8" s="1194"/>
      <c r="J8" s="1194"/>
      <c r="K8" s="1194"/>
      <c r="L8" s="1194"/>
      <c r="M8" s="1194"/>
      <c r="N8" s="1194"/>
      <c r="O8" s="1194"/>
      <c r="P8" s="1194"/>
      <c r="Q8" s="1194"/>
      <c r="R8" s="1194"/>
      <c r="S8" s="1194"/>
      <c r="T8" s="1194"/>
      <c r="U8" s="1194"/>
      <c r="V8" s="1194"/>
      <c r="W8" s="1194"/>
      <c r="X8" s="1194"/>
      <c r="Y8" s="1194"/>
      <c r="Z8" s="1194"/>
      <c r="AA8" s="1194"/>
      <c r="AB8" s="1194"/>
      <c r="AC8" s="1194"/>
      <c r="AD8" s="1194"/>
      <c r="AE8" s="1194"/>
      <c r="AF8" s="1194"/>
      <c r="AG8" s="1194"/>
      <c r="AH8" s="1194"/>
      <c r="AI8" s="1194"/>
      <c r="AJ8" s="1194"/>
      <c r="AK8" s="1194"/>
      <c r="AL8" s="1194"/>
      <c r="AM8" s="1194"/>
      <c r="AN8" s="1194"/>
      <c r="AO8" s="1194"/>
      <c r="AP8" s="1194"/>
      <c r="AQ8" s="1194"/>
      <c r="AR8" s="1195"/>
      <c r="AS8" s="261"/>
    </row>
    <row r="9" spans="1:45" s="259" customFormat="1" ht="28.5" customHeight="1" x14ac:dyDescent="0.25">
      <c r="A9" s="1201">
        <v>2</v>
      </c>
      <c r="B9" s="973">
        <v>2.2999999999999998</v>
      </c>
      <c r="C9" s="1214" t="s">
        <v>643</v>
      </c>
      <c r="D9" s="549" t="s">
        <v>48</v>
      </c>
      <c r="E9" s="549" t="s">
        <v>641</v>
      </c>
      <c r="F9" s="547" t="s">
        <v>541</v>
      </c>
      <c r="G9" s="260"/>
      <c r="H9" s="260"/>
      <c r="I9" s="260"/>
      <c r="J9" s="253">
        <f t="shared" ref="J9:J14" si="0">G9*H9*I9</f>
        <v>0</v>
      </c>
      <c r="K9" s="260"/>
      <c r="L9" s="260"/>
      <c r="M9" s="260"/>
      <c r="N9" s="260"/>
      <c r="O9" s="260"/>
      <c r="P9" s="260"/>
      <c r="Q9" s="260"/>
      <c r="R9" s="260"/>
      <c r="S9" s="254">
        <f t="shared" ref="S9:S14" si="1">(K9*L9*N9)+(K9*L9*M9*O9)+(K9*L9*M9*P9)+(K9*M9*Q9)+(K9*L9*R9)</f>
        <v>0</v>
      </c>
      <c r="T9" s="260"/>
      <c r="U9" s="260"/>
      <c r="V9" s="255">
        <f t="shared" ref="V9:V14" si="2">T9*U9</f>
        <v>0</v>
      </c>
      <c r="W9" s="260"/>
      <c r="X9" s="260"/>
      <c r="Y9" s="255"/>
      <c r="Z9" s="260"/>
      <c r="AA9" s="260"/>
      <c r="AB9" s="415"/>
      <c r="AC9" s="415"/>
      <c r="AD9" s="244"/>
      <c r="AE9" s="260"/>
      <c r="AF9" s="260"/>
      <c r="AG9" s="415"/>
      <c r="AH9" s="260"/>
      <c r="AI9" s="260"/>
      <c r="AJ9" s="244"/>
      <c r="AK9" s="260"/>
      <c r="AL9" s="255">
        <f t="shared" ref="AL9:AL14" si="3">J9+S9+V9+Y9+AB9+AG9+AJ9+AK9+AC9+AD9</f>
        <v>0</v>
      </c>
      <c r="AM9" s="548"/>
      <c r="AN9" s="260"/>
      <c r="AO9" s="260"/>
      <c r="AP9" s="260"/>
      <c r="AQ9" s="360"/>
      <c r="AR9" s="258">
        <f>AL9-AM9-AN9-AO9-AP9-AQ9</f>
        <v>0</v>
      </c>
      <c r="AS9" s="261"/>
    </row>
    <row r="10" spans="1:45" s="259" customFormat="1" ht="59.45" customHeight="1" x14ac:dyDescent="0.25">
      <c r="A10" s="1202"/>
      <c r="B10" s="973"/>
      <c r="C10" s="1215"/>
      <c r="D10" s="549" t="s">
        <v>49</v>
      </c>
      <c r="E10" s="549" t="s">
        <v>642</v>
      </c>
      <c r="F10" s="547" t="s">
        <v>542</v>
      </c>
      <c r="G10" s="260"/>
      <c r="H10" s="260"/>
      <c r="I10" s="260"/>
      <c r="J10" s="253">
        <f t="shared" si="0"/>
        <v>0</v>
      </c>
      <c r="K10" s="260">
        <v>2</v>
      </c>
      <c r="L10" s="260">
        <v>2</v>
      </c>
      <c r="M10" s="260">
        <v>25</v>
      </c>
      <c r="N10" s="260">
        <v>300</v>
      </c>
      <c r="O10" s="260">
        <v>20</v>
      </c>
      <c r="P10" s="260"/>
      <c r="Q10" s="260">
        <v>25</v>
      </c>
      <c r="R10" s="260"/>
      <c r="S10" s="254">
        <f t="shared" si="1"/>
        <v>4450</v>
      </c>
      <c r="T10" s="260">
        <v>10</v>
      </c>
      <c r="U10" s="260">
        <v>350</v>
      </c>
      <c r="V10" s="255">
        <f t="shared" si="2"/>
        <v>3500</v>
      </c>
      <c r="W10" s="260">
        <v>45</v>
      </c>
      <c r="X10" s="260">
        <v>1250</v>
      </c>
      <c r="Y10" s="255">
        <f>W10*X10</f>
        <v>56250</v>
      </c>
      <c r="Z10" s="260"/>
      <c r="AA10" s="260"/>
      <c r="AB10" s="415"/>
      <c r="AC10" s="415"/>
      <c r="AD10" s="244"/>
      <c r="AE10" s="260"/>
      <c r="AF10" s="260"/>
      <c r="AG10" s="415"/>
      <c r="AH10" s="260"/>
      <c r="AI10" s="260"/>
      <c r="AJ10" s="244"/>
      <c r="AK10" s="260">
        <f>(8*500)+ (8*5*80)+(3*5*50)</f>
        <v>7950</v>
      </c>
      <c r="AL10" s="255">
        <f t="shared" si="3"/>
        <v>72150</v>
      </c>
      <c r="AM10" s="548"/>
      <c r="AN10" s="260"/>
      <c r="AO10" s="260"/>
      <c r="AP10" s="260"/>
      <c r="AQ10" s="360"/>
      <c r="AR10" s="258">
        <f>AL10-AM10-AN10-AO10-AP10-AQ10</f>
        <v>72150</v>
      </c>
      <c r="AS10" s="261"/>
    </row>
    <row r="11" spans="1:45" s="259" customFormat="1" x14ac:dyDescent="0.25">
      <c r="A11" s="572"/>
      <c r="B11" s="419"/>
      <c r="C11" s="574"/>
      <c r="D11" s="575"/>
      <c r="E11" s="575"/>
      <c r="F11" s="576"/>
      <c r="G11" s="573"/>
      <c r="H11" s="573"/>
      <c r="I11" s="573"/>
      <c r="J11" s="424">
        <f>SUM(J8:J10)</f>
        <v>0</v>
      </c>
      <c r="K11" s="424"/>
      <c r="L11" s="424"/>
      <c r="M11" s="424"/>
      <c r="N11" s="424"/>
      <c r="O11" s="424"/>
      <c r="P11" s="424"/>
      <c r="Q11" s="424"/>
      <c r="R11" s="424"/>
      <c r="S11" s="424">
        <f t="shared" ref="S11:AR11" si="4">SUM(S8:S10)</f>
        <v>4450</v>
      </c>
      <c r="T11" s="424"/>
      <c r="U11" s="424"/>
      <c r="V11" s="424">
        <f t="shared" si="4"/>
        <v>3500</v>
      </c>
      <c r="W11" s="424"/>
      <c r="X11" s="424"/>
      <c r="Y11" s="424">
        <f t="shared" si="4"/>
        <v>56250</v>
      </c>
      <c r="Z11" s="424">
        <f t="shared" si="4"/>
        <v>0</v>
      </c>
      <c r="AA11" s="424">
        <f t="shared" si="4"/>
        <v>0</v>
      </c>
      <c r="AB11" s="253">
        <f t="shared" si="4"/>
        <v>0</v>
      </c>
      <c r="AC11" s="424">
        <f t="shared" si="4"/>
        <v>0</v>
      </c>
      <c r="AD11" s="424">
        <f t="shared" si="4"/>
        <v>0</v>
      </c>
      <c r="AE11" s="424">
        <f t="shared" si="4"/>
        <v>0</v>
      </c>
      <c r="AF11" s="424">
        <f t="shared" si="4"/>
        <v>0</v>
      </c>
      <c r="AG11" s="253">
        <f t="shared" si="4"/>
        <v>0</v>
      </c>
      <c r="AH11" s="424">
        <f t="shared" si="4"/>
        <v>0</v>
      </c>
      <c r="AI11" s="424">
        <f t="shared" si="4"/>
        <v>0</v>
      </c>
      <c r="AJ11" s="253">
        <f t="shared" si="4"/>
        <v>0</v>
      </c>
      <c r="AK11" s="424">
        <f t="shared" si="4"/>
        <v>7950</v>
      </c>
      <c r="AL11" s="424">
        <f t="shared" si="4"/>
        <v>72150</v>
      </c>
      <c r="AM11" s="424">
        <f t="shared" si="4"/>
        <v>0</v>
      </c>
      <c r="AN11" s="424">
        <f t="shared" si="4"/>
        <v>0</v>
      </c>
      <c r="AO11" s="424">
        <f t="shared" si="4"/>
        <v>0</v>
      </c>
      <c r="AP11" s="424">
        <f t="shared" si="4"/>
        <v>0</v>
      </c>
      <c r="AQ11" s="424">
        <f t="shared" si="4"/>
        <v>0</v>
      </c>
      <c r="AR11" s="424">
        <f t="shared" si="4"/>
        <v>72150</v>
      </c>
      <c r="AS11" s="261"/>
    </row>
    <row r="12" spans="1:45" s="259" customFormat="1" ht="31.5" customHeight="1" x14ac:dyDescent="0.25">
      <c r="A12" s="975" t="s">
        <v>543</v>
      </c>
      <c r="B12" s="975"/>
      <c r="C12" s="975"/>
      <c r="D12" s="975"/>
      <c r="E12" s="975"/>
      <c r="F12" s="975"/>
      <c r="G12" s="975"/>
      <c r="H12" s="975"/>
      <c r="I12" s="975"/>
      <c r="J12" s="975"/>
      <c r="K12" s="975"/>
      <c r="L12" s="975"/>
      <c r="M12" s="975"/>
      <c r="N12" s="975"/>
      <c r="O12" s="975"/>
      <c r="P12" s="975"/>
      <c r="Q12" s="975"/>
      <c r="R12" s="975"/>
      <c r="S12" s="975"/>
      <c r="T12" s="975"/>
      <c r="U12" s="975"/>
      <c r="V12" s="975"/>
      <c r="W12" s="975"/>
      <c r="X12" s="975"/>
      <c r="Y12" s="975"/>
      <c r="Z12" s="975"/>
      <c r="AA12" s="975"/>
      <c r="AB12" s="975"/>
      <c r="AC12" s="975"/>
      <c r="AD12" s="975"/>
      <c r="AE12" s="975"/>
      <c r="AF12" s="975"/>
      <c r="AG12" s="975"/>
      <c r="AH12" s="975"/>
      <c r="AI12" s="975"/>
      <c r="AJ12" s="975"/>
      <c r="AK12" s="975"/>
      <c r="AL12" s="975"/>
      <c r="AM12" s="975"/>
      <c r="AN12" s="975"/>
      <c r="AO12" s="975"/>
      <c r="AP12" s="975"/>
      <c r="AQ12" s="975"/>
      <c r="AR12" s="976"/>
      <c r="AS12" s="261"/>
    </row>
    <row r="13" spans="1:45" s="259" customFormat="1" ht="57.75" customHeight="1" x14ac:dyDescent="0.25">
      <c r="A13" s="1201"/>
      <c r="B13" s="1203" t="s">
        <v>139</v>
      </c>
      <c r="C13" s="1205" t="s">
        <v>646</v>
      </c>
      <c r="D13" s="550" t="s">
        <v>212</v>
      </c>
      <c r="E13" s="550" t="s">
        <v>644</v>
      </c>
      <c r="F13" s="767" t="s">
        <v>544</v>
      </c>
      <c r="G13" s="260"/>
      <c r="H13" s="260"/>
      <c r="I13" s="260"/>
      <c r="J13" s="253">
        <f t="shared" si="0"/>
        <v>0</v>
      </c>
      <c r="K13" s="260"/>
      <c r="L13" s="260"/>
      <c r="M13" s="260"/>
      <c r="N13" s="260"/>
      <c r="O13" s="260"/>
      <c r="P13" s="260"/>
      <c r="Q13" s="260"/>
      <c r="R13" s="260"/>
      <c r="S13" s="254">
        <f t="shared" si="1"/>
        <v>0</v>
      </c>
      <c r="T13" s="260"/>
      <c r="U13" s="260"/>
      <c r="V13" s="255"/>
      <c r="W13" s="260"/>
      <c r="X13" s="260"/>
      <c r="Y13" s="255"/>
      <c r="Z13" s="260"/>
      <c r="AA13" s="260"/>
      <c r="AB13" s="415"/>
      <c r="AC13" s="415"/>
      <c r="AD13" s="244"/>
      <c r="AE13" s="260"/>
      <c r="AF13" s="260"/>
      <c r="AG13" s="415"/>
      <c r="AH13" s="260"/>
      <c r="AI13" s="260"/>
      <c r="AJ13" s="244"/>
      <c r="AK13" s="260"/>
      <c r="AL13" s="255">
        <f t="shared" si="3"/>
        <v>0</v>
      </c>
      <c r="AM13" s="548"/>
      <c r="AN13" s="260"/>
      <c r="AO13" s="260"/>
      <c r="AP13" s="260"/>
      <c r="AQ13" s="360"/>
      <c r="AR13" s="258">
        <f>AL13-AM13-AN13-AO13-AP13-AQ13</f>
        <v>0</v>
      </c>
      <c r="AS13" s="261"/>
    </row>
    <row r="14" spans="1:45" s="259" customFormat="1" ht="45.75" customHeight="1" x14ac:dyDescent="0.25">
      <c r="A14" s="1210"/>
      <c r="B14" s="1204"/>
      <c r="C14" s="1206"/>
      <c r="D14" s="775" t="s">
        <v>213</v>
      </c>
      <c r="E14" s="776" t="s">
        <v>645</v>
      </c>
      <c r="F14" s="547" t="s">
        <v>541</v>
      </c>
      <c r="G14" s="777"/>
      <c r="H14" s="777"/>
      <c r="I14" s="777"/>
      <c r="J14" s="778">
        <f t="shared" si="0"/>
        <v>0</v>
      </c>
      <c r="K14" s="777"/>
      <c r="L14" s="777"/>
      <c r="M14" s="777"/>
      <c r="N14" s="777"/>
      <c r="O14" s="777"/>
      <c r="P14" s="777"/>
      <c r="Q14" s="777"/>
      <c r="R14" s="777"/>
      <c r="S14" s="779">
        <f t="shared" si="1"/>
        <v>0</v>
      </c>
      <c r="T14" s="777"/>
      <c r="U14" s="777"/>
      <c r="V14" s="780">
        <f t="shared" si="2"/>
        <v>0</v>
      </c>
      <c r="W14" s="777"/>
      <c r="X14" s="777"/>
      <c r="Y14" s="780"/>
      <c r="Z14" s="777"/>
      <c r="AA14" s="777"/>
      <c r="AB14" s="415"/>
      <c r="AC14" s="415"/>
      <c r="AD14" s="415"/>
      <c r="AE14" s="777"/>
      <c r="AF14" s="777"/>
      <c r="AG14" s="415"/>
      <c r="AH14" s="777"/>
      <c r="AI14" s="777"/>
      <c r="AJ14" s="244"/>
      <c r="AK14" s="260"/>
      <c r="AL14" s="255">
        <f t="shared" si="3"/>
        <v>0</v>
      </c>
      <c r="AM14" s="548"/>
      <c r="AN14" s="260"/>
      <c r="AO14" s="260"/>
      <c r="AP14" s="260"/>
      <c r="AQ14" s="360"/>
      <c r="AR14" s="258">
        <f>AL14-AM14-AN14-AO14-AP14-AQ14</f>
        <v>0</v>
      </c>
      <c r="AS14" s="261"/>
    </row>
    <row r="15" spans="1:45" s="259" customFormat="1" ht="26.25" customHeight="1" x14ac:dyDescent="0.25">
      <c r="A15" s="422"/>
      <c r="B15" s="422"/>
      <c r="C15" s="422"/>
      <c r="D15" s="781"/>
      <c r="E15" s="781"/>
      <c r="F15" s="422"/>
      <c r="G15" s="423"/>
      <c r="H15" s="423"/>
      <c r="I15" s="423"/>
      <c r="J15" s="424">
        <f>SUM(J12:J14)</f>
        <v>0</v>
      </c>
      <c r="K15" s="424"/>
      <c r="L15" s="424"/>
      <c r="M15" s="424"/>
      <c r="N15" s="424"/>
      <c r="O15" s="424"/>
      <c r="P15" s="424"/>
      <c r="Q15" s="424"/>
      <c r="R15" s="424"/>
      <c r="S15" s="424">
        <f t="shared" ref="S15:AR15" si="5">SUM(S12:S14)</f>
        <v>0</v>
      </c>
      <c r="T15" s="424">
        <f t="shared" si="5"/>
        <v>0</v>
      </c>
      <c r="U15" s="424">
        <f t="shared" si="5"/>
        <v>0</v>
      </c>
      <c r="V15" s="424">
        <f t="shared" si="5"/>
        <v>0</v>
      </c>
      <c r="W15" s="424">
        <f t="shared" si="5"/>
        <v>0</v>
      </c>
      <c r="X15" s="424">
        <f t="shared" si="5"/>
        <v>0</v>
      </c>
      <c r="Y15" s="424">
        <f t="shared" si="5"/>
        <v>0</v>
      </c>
      <c r="Z15" s="424">
        <f t="shared" si="5"/>
        <v>0</v>
      </c>
      <c r="AA15" s="424">
        <f t="shared" si="5"/>
        <v>0</v>
      </c>
      <c r="AB15" s="424">
        <f t="shared" si="5"/>
        <v>0</v>
      </c>
      <c r="AC15" s="424">
        <f t="shared" si="5"/>
        <v>0</v>
      </c>
      <c r="AD15" s="424">
        <f t="shared" si="5"/>
        <v>0</v>
      </c>
      <c r="AE15" s="424">
        <f t="shared" si="5"/>
        <v>0</v>
      </c>
      <c r="AF15" s="424">
        <f t="shared" si="5"/>
        <v>0</v>
      </c>
      <c r="AG15" s="424">
        <f t="shared" si="5"/>
        <v>0</v>
      </c>
      <c r="AH15" s="424">
        <f t="shared" si="5"/>
        <v>0</v>
      </c>
      <c r="AI15" s="424">
        <f t="shared" si="5"/>
        <v>0</v>
      </c>
      <c r="AJ15" s="424">
        <f t="shared" si="5"/>
        <v>0</v>
      </c>
      <c r="AK15" s="424">
        <f t="shared" si="5"/>
        <v>0</v>
      </c>
      <c r="AL15" s="424">
        <f t="shared" si="5"/>
        <v>0</v>
      </c>
      <c r="AM15" s="424">
        <f t="shared" si="5"/>
        <v>0</v>
      </c>
      <c r="AN15" s="424">
        <f t="shared" si="5"/>
        <v>0</v>
      </c>
      <c r="AO15" s="424">
        <f t="shared" si="5"/>
        <v>0</v>
      </c>
      <c r="AP15" s="424">
        <f t="shared" si="5"/>
        <v>0</v>
      </c>
      <c r="AQ15" s="424">
        <f t="shared" si="5"/>
        <v>0</v>
      </c>
      <c r="AR15" s="424">
        <f t="shared" si="5"/>
        <v>0</v>
      </c>
      <c r="AS15" s="261"/>
    </row>
    <row r="16" spans="1:45" ht="30.75" customHeight="1" x14ac:dyDescent="0.25">
      <c r="A16" s="300"/>
      <c r="B16" s="1207" t="s">
        <v>578</v>
      </c>
      <c r="C16" s="1208"/>
      <c r="D16" s="1208"/>
      <c r="E16" s="1209"/>
      <c r="F16" s="301"/>
      <c r="G16" s="302"/>
      <c r="H16" s="302"/>
      <c r="I16" s="302"/>
      <c r="J16" s="302"/>
      <c r="K16" s="302"/>
      <c r="L16" s="302"/>
      <c r="M16" s="302"/>
      <c r="N16" s="302"/>
      <c r="O16" s="302"/>
      <c r="P16" s="302"/>
      <c r="Q16" s="302"/>
      <c r="R16" s="302"/>
      <c r="S16" s="302"/>
      <c r="T16" s="302"/>
      <c r="U16" s="302"/>
      <c r="V16" s="302"/>
      <c r="W16" s="302"/>
      <c r="X16" s="302"/>
      <c r="Y16" s="302"/>
      <c r="Z16" s="302"/>
      <c r="AA16" s="302"/>
      <c r="AB16" s="302"/>
      <c r="AC16" s="302"/>
      <c r="AD16" s="302"/>
      <c r="AE16" s="302"/>
      <c r="AF16" s="302"/>
      <c r="AG16" s="302"/>
      <c r="AH16" s="302"/>
      <c r="AI16" s="302"/>
      <c r="AJ16" s="302"/>
      <c r="AK16" s="302"/>
      <c r="AL16" s="302"/>
      <c r="AM16" s="302"/>
      <c r="AN16" s="302"/>
      <c r="AO16" s="302"/>
      <c r="AP16" s="302"/>
      <c r="AQ16" s="302"/>
      <c r="AR16" s="302"/>
    </row>
    <row r="17" spans="1:45" s="312" customFormat="1" ht="61.5" customHeight="1" x14ac:dyDescent="0.25">
      <c r="A17" s="968">
        <v>10</v>
      </c>
      <c r="B17" s="264">
        <v>10.1</v>
      </c>
      <c r="C17" s="564" t="s">
        <v>545</v>
      </c>
      <c r="D17" s="265" t="s">
        <v>165</v>
      </c>
      <c r="E17" s="265" t="s">
        <v>546</v>
      </c>
      <c r="F17" s="565" t="s">
        <v>100</v>
      </c>
      <c r="G17" s="566"/>
      <c r="H17" s="567"/>
      <c r="I17" s="567"/>
      <c r="J17" s="551">
        <f>G17*H17*I17</f>
        <v>0</v>
      </c>
      <c r="K17" s="568"/>
      <c r="L17" s="568"/>
      <c r="M17" s="568"/>
      <c r="N17" s="568"/>
      <c r="O17" s="568"/>
      <c r="P17" s="568"/>
      <c r="Q17" s="568"/>
      <c r="R17" s="568"/>
      <c r="S17" s="254">
        <f>(K17*L17*N17)+(K17*L17*M17*O17)+(K17*L17*M17*P17)+(K17*M17*Q17)+(K17*L17*R17)</f>
        <v>0</v>
      </c>
      <c r="T17" s="270"/>
      <c r="U17" s="270"/>
      <c r="V17" s="255">
        <f>T17*U17</f>
        <v>0</v>
      </c>
      <c r="W17" s="270"/>
      <c r="X17" s="270"/>
      <c r="Y17" s="255">
        <f>700000-AD17</f>
        <v>226000</v>
      </c>
      <c r="Z17" s="569"/>
      <c r="AA17" s="569"/>
      <c r="AB17" s="255">
        <f>Z17*AA17</f>
        <v>0</v>
      </c>
      <c r="AC17" s="255"/>
      <c r="AD17" s="570">
        <f>700000-226000</f>
        <v>474000</v>
      </c>
      <c r="AE17" s="658"/>
      <c r="AF17" s="658"/>
      <c r="AG17" s="255">
        <f>AE17*AF17</f>
        <v>0</v>
      </c>
      <c r="AH17" s="658"/>
      <c r="AI17" s="658"/>
      <c r="AJ17" s="255">
        <f>AH17*AI17</f>
        <v>0</v>
      </c>
      <c r="AK17" s="255"/>
      <c r="AL17" s="255">
        <f>J17+S17+V17+Y17+AB17+AG17+AJ17+AK17+AC17+AD17</f>
        <v>700000</v>
      </c>
      <c r="AM17" s="409"/>
      <c r="AN17" s="272">
        <f>AL17</f>
        <v>700000</v>
      </c>
      <c r="AO17" s="272"/>
      <c r="AP17" s="272"/>
      <c r="AQ17" s="272"/>
      <c r="AR17" s="258">
        <f>AL17-AM17-AN17-AO17-AP17-AQ17</f>
        <v>0</v>
      </c>
      <c r="AS17" s="571"/>
    </row>
    <row r="18" spans="1:45" s="274" customFormat="1" ht="35.25" customHeight="1" x14ac:dyDescent="0.25">
      <c r="A18" s="979"/>
      <c r="B18" s="968">
        <v>10.199999999999999</v>
      </c>
      <c r="C18" s="925" t="s">
        <v>647</v>
      </c>
      <c r="D18" s="265" t="s">
        <v>167</v>
      </c>
      <c r="E18" s="249" t="s">
        <v>547</v>
      </c>
      <c r="F18" s="273"/>
      <c r="G18" s="266"/>
      <c r="H18" s="267"/>
      <c r="I18" s="267"/>
      <c r="J18" s="253">
        <f>G18*H18*I18</f>
        <v>0</v>
      </c>
      <c r="K18" s="268"/>
      <c r="L18" s="268"/>
      <c r="M18" s="268"/>
      <c r="N18" s="268"/>
      <c r="O18" s="268"/>
      <c r="P18" s="268"/>
      <c r="Q18" s="268"/>
      <c r="R18" s="268"/>
      <c r="S18" s="254">
        <f>(K18*L18*N18)+(K18*L18*M18*O18)+(K18*L18*M18*P18)+(K18*M18*Q18)+(K18*L18*R18)</f>
        <v>0</v>
      </c>
      <c r="T18" s="269"/>
      <c r="U18" s="269"/>
      <c r="V18" s="255">
        <f>T18*U18</f>
        <v>0</v>
      </c>
      <c r="W18" s="270"/>
      <c r="X18" s="270"/>
      <c r="Y18" s="255">
        <f>W18*X18</f>
        <v>0</v>
      </c>
      <c r="Z18" s="271"/>
      <c r="AA18" s="271"/>
      <c r="AB18" s="256">
        <f>Z18*AA18</f>
        <v>0</v>
      </c>
      <c r="AC18" s="256"/>
      <c r="AD18" s="256"/>
      <c r="AE18" s="413"/>
      <c r="AF18" s="413"/>
      <c r="AG18" s="256">
        <f>AE18*AF18</f>
        <v>0</v>
      </c>
      <c r="AH18" s="413"/>
      <c r="AI18" s="413"/>
      <c r="AJ18" s="256">
        <f>AH18*AI18</f>
        <v>0</v>
      </c>
      <c r="AK18" s="255">
        <v>2000000</v>
      </c>
      <c r="AL18" s="255">
        <f>J18+S18+V18+Y18+AB18+AG18+AJ18+AK18+AC18+AD18</f>
        <v>2000000</v>
      </c>
      <c r="AM18" s="409"/>
      <c r="AN18" s="272"/>
      <c r="AO18" s="272"/>
      <c r="AP18" s="272"/>
      <c r="AQ18" s="272"/>
      <c r="AR18" s="258">
        <f>AL18-AM18-AN18-AO18-AP18-AQ18</f>
        <v>2000000</v>
      </c>
      <c r="AS18" s="275"/>
    </row>
    <row r="19" spans="1:45" s="281" customFormat="1" ht="69.75" customHeight="1" x14ac:dyDescent="0.25">
      <c r="A19" s="979"/>
      <c r="B19" s="969"/>
      <c r="C19" s="925"/>
      <c r="D19" s="265" t="s">
        <v>168</v>
      </c>
      <c r="E19" s="249" t="s">
        <v>648</v>
      </c>
      <c r="F19" s="249" t="s">
        <v>649</v>
      </c>
      <c r="G19" s="266"/>
      <c r="H19" s="276"/>
      <c r="I19" s="276"/>
      <c r="J19" s="253">
        <f>G19*H19*I19</f>
        <v>0</v>
      </c>
      <c r="K19" s="268"/>
      <c r="L19" s="268"/>
      <c r="M19" s="277"/>
      <c r="N19" s="277"/>
      <c r="O19" s="277"/>
      <c r="P19" s="277"/>
      <c r="Q19" s="277"/>
      <c r="R19" s="277"/>
      <c r="S19" s="254">
        <f>(K19*L19*N19)+(K19*L19*M19*O19)+(K19*L19*M19*P19)+(K19*M19*Q19)+(K19*L19*R19)</f>
        <v>0</v>
      </c>
      <c r="T19" s="277"/>
      <c r="U19" s="277"/>
      <c r="V19" s="255">
        <f>T19*U19</f>
        <v>0</v>
      </c>
      <c r="W19" s="278"/>
      <c r="X19" s="278"/>
      <c r="Y19" s="255">
        <f>W19*X19</f>
        <v>0</v>
      </c>
      <c r="Z19" s="279"/>
      <c r="AA19" s="279"/>
      <c r="AB19" s="256">
        <f>Z19*AA19</f>
        <v>0</v>
      </c>
      <c r="AC19" s="657"/>
      <c r="AD19" s="657"/>
      <c r="AE19" s="659"/>
      <c r="AF19" s="659"/>
      <c r="AG19" s="256">
        <f>AE19*AF19</f>
        <v>0</v>
      </c>
      <c r="AH19" s="659"/>
      <c r="AI19" s="659"/>
      <c r="AJ19" s="256">
        <f>AH19*AI19</f>
        <v>0</v>
      </c>
      <c r="AK19" s="280"/>
      <c r="AL19" s="255">
        <f>J19+S19+V19+Y19+AB19+AG19+AJ19+AK19+AC19+AD19</f>
        <v>0</v>
      </c>
      <c r="AM19" s="409"/>
      <c r="AN19" s="272"/>
      <c r="AO19" s="272"/>
      <c r="AP19" s="272"/>
      <c r="AQ19" s="272"/>
      <c r="AR19" s="258">
        <f>AL19-AM19-AN19-AO19-AP19-AQ19</f>
        <v>0</v>
      </c>
      <c r="AS19" s="282"/>
    </row>
    <row r="20" spans="1:45" s="281" customFormat="1" ht="36.75" customHeight="1" x14ac:dyDescent="0.25">
      <c r="A20" s="484"/>
      <c r="B20" s="485"/>
      <c r="C20" s="473"/>
      <c r="D20" s="486"/>
      <c r="E20" s="473"/>
      <c r="F20" s="473"/>
      <c r="G20" s="479"/>
      <c r="H20" s="487"/>
      <c r="I20" s="487"/>
      <c r="J20" s="477">
        <f>SUM(J17:J19)</f>
        <v>0</v>
      </c>
      <c r="K20" s="477"/>
      <c r="L20" s="477"/>
      <c r="M20" s="477"/>
      <c r="N20" s="477"/>
      <c r="O20" s="477"/>
      <c r="P20" s="477"/>
      <c r="Q20" s="477"/>
      <c r="R20" s="477"/>
      <c r="S20" s="477">
        <f>SUM(S17:S19)</f>
        <v>0</v>
      </c>
      <c r="T20" s="477"/>
      <c r="U20" s="477"/>
      <c r="V20" s="477">
        <f>SUM(V17:V19)</f>
        <v>0</v>
      </c>
      <c r="W20" s="477"/>
      <c r="X20" s="477"/>
      <c r="Y20" s="477">
        <f>SUM(Y17:Y19)</f>
        <v>226000</v>
      </c>
      <c r="Z20" s="477"/>
      <c r="AA20" s="477"/>
      <c r="AB20" s="477">
        <f>SUM(AB17:AB19)</f>
        <v>0</v>
      </c>
      <c r="AC20" s="477">
        <f>SUM(AC17:AC19)</f>
        <v>0</v>
      </c>
      <c r="AD20" s="477">
        <f>SUM(AD17:AD19)</f>
        <v>474000</v>
      </c>
      <c r="AE20" s="477"/>
      <c r="AF20" s="477"/>
      <c r="AG20" s="477">
        <f>SUM(AG17:AG19)</f>
        <v>0</v>
      </c>
      <c r="AH20" s="477"/>
      <c r="AI20" s="477"/>
      <c r="AJ20" s="477">
        <f t="shared" ref="AJ20:AR20" si="6">SUM(AJ17:AJ19)</f>
        <v>0</v>
      </c>
      <c r="AK20" s="477">
        <f t="shared" si="6"/>
        <v>2000000</v>
      </c>
      <c r="AL20" s="477">
        <f t="shared" si="6"/>
        <v>2700000</v>
      </c>
      <c r="AM20" s="477">
        <f t="shared" si="6"/>
        <v>0</v>
      </c>
      <c r="AN20" s="477">
        <f t="shared" si="6"/>
        <v>700000</v>
      </c>
      <c r="AO20" s="477">
        <f t="shared" si="6"/>
        <v>0</v>
      </c>
      <c r="AP20" s="477">
        <f t="shared" si="6"/>
        <v>0</v>
      </c>
      <c r="AQ20" s="477">
        <f t="shared" si="6"/>
        <v>0</v>
      </c>
      <c r="AR20" s="477">
        <f t="shared" si="6"/>
        <v>2000000</v>
      </c>
      <c r="AS20" s="282"/>
    </row>
    <row r="21" spans="1:45" s="245" customFormat="1" ht="25.5" customHeight="1" x14ac:dyDescent="0.25">
      <c r="A21" s="332"/>
      <c r="B21" s="1211" t="s">
        <v>548</v>
      </c>
      <c r="C21" s="1212"/>
      <c r="D21" s="1212"/>
      <c r="E21" s="1212"/>
      <c r="F21" s="1212"/>
      <c r="G21" s="1212"/>
      <c r="H21" s="1212"/>
      <c r="I21" s="1212"/>
      <c r="J21" s="1212"/>
      <c r="K21" s="1212"/>
      <c r="L21" s="1212"/>
      <c r="M21" s="1212"/>
      <c r="N21" s="1212"/>
      <c r="O21" s="1212"/>
      <c r="P21" s="1212"/>
      <c r="Q21" s="1212"/>
      <c r="R21" s="1212"/>
      <c r="S21" s="1212"/>
      <c r="T21" s="1212"/>
      <c r="U21" s="1212"/>
      <c r="V21" s="1212"/>
      <c r="W21" s="1212"/>
      <c r="X21" s="1212"/>
      <c r="Y21" s="1212"/>
      <c r="Z21" s="1212"/>
      <c r="AA21" s="1212"/>
      <c r="AB21" s="1212"/>
      <c r="AC21" s="1212"/>
      <c r="AD21" s="1212"/>
      <c r="AE21" s="1212"/>
      <c r="AF21" s="1212"/>
      <c r="AG21" s="1212"/>
      <c r="AH21" s="1212"/>
      <c r="AI21" s="1212"/>
      <c r="AJ21" s="1212"/>
      <c r="AK21" s="1212"/>
      <c r="AL21" s="1212"/>
      <c r="AM21" s="1212"/>
      <c r="AN21" s="1212"/>
      <c r="AO21" s="1212"/>
      <c r="AP21" s="1212"/>
      <c r="AQ21" s="1212"/>
      <c r="AR21" s="1213"/>
      <c r="AS21" s="246"/>
    </row>
    <row r="22" spans="1:45" ht="38.25" x14ac:dyDescent="0.25">
      <c r="A22" s="292"/>
      <c r="B22" s="205">
        <v>11.1</v>
      </c>
      <c r="C22" s="736" t="s">
        <v>549</v>
      </c>
      <c r="D22" s="265" t="s">
        <v>192</v>
      </c>
      <c r="E22" s="327"/>
      <c r="F22" s="304" t="s">
        <v>552</v>
      </c>
      <c r="G22" s="266"/>
      <c r="H22" s="305"/>
      <c r="I22" s="305"/>
      <c r="J22" s="253"/>
      <c r="K22" s="268"/>
      <c r="L22" s="268"/>
      <c r="M22" s="306"/>
      <c r="N22" s="306"/>
      <c r="O22" s="306"/>
      <c r="P22" s="306"/>
      <c r="Q22" s="306"/>
      <c r="R22" s="306"/>
      <c r="S22" s="254"/>
      <c r="T22" s="306"/>
      <c r="U22" s="306"/>
      <c r="V22" s="255"/>
      <c r="W22" s="307"/>
      <c r="X22" s="307"/>
      <c r="Y22" s="255"/>
      <c r="Z22" s="308"/>
      <c r="AA22" s="308"/>
      <c r="AB22" s="256"/>
      <c r="AC22" s="577"/>
      <c r="AD22" s="577"/>
      <c r="AE22" s="594"/>
      <c r="AF22" s="594"/>
      <c r="AG22" s="256"/>
      <c r="AH22" s="594"/>
      <c r="AI22" s="594"/>
      <c r="AJ22" s="256"/>
      <c r="AK22" s="309"/>
      <c r="AL22" s="255">
        <f>J22+S22+V22+Y22+AB22+AG22+AJ22+AK22+AC22+AD22</f>
        <v>0</v>
      </c>
      <c r="AM22" s="409"/>
      <c r="AN22" s="272"/>
      <c r="AO22" s="272"/>
      <c r="AP22" s="272"/>
      <c r="AQ22" s="272"/>
      <c r="AR22" s="258">
        <f>AL22-AM22-AN22-AO22-AP22-AQ22</f>
        <v>0</v>
      </c>
    </row>
    <row r="23" spans="1:45" ht="38.25" x14ac:dyDescent="0.25">
      <c r="A23" s="292"/>
      <c r="B23" s="205">
        <v>11.2</v>
      </c>
      <c r="C23" s="736" t="s">
        <v>550</v>
      </c>
      <c r="D23" s="265" t="s">
        <v>193</v>
      </c>
      <c r="E23" s="327"/>
      <c r="F23" s="304" t="s">
        <v>552</v>
      </c>
      <c r="G23" s="266"/>
      <c r="H23" s="305"/>
      <c r="I23" s="305"/>
      <c r="J23" s="253"/>
      <c r="K23" s="268"/>
      <c r="L23" s="268"/>
      <c r="M23" s="306"/>
      <c r="N23" s="306"/>
      <c r="O23" s="306"/>
      <c r="P23" s="306"/>
      <c r="Q23" s="306"/>
      <c r="R23" s="306"/>
      <c r="S23" s="254"/>
      <c r="T23" s="306"/>
      <c r="U23" s="306"/>
      <c r="V23" s="255"/>
      <c r="W23" s="307"/>
      <c r="X23" s="307"/>
      <c r="Y23" s="255"/>
      <c r="Z23" s="308"/>
      <c r="AA23" s="308"/>
      <c r="AB23" s="256"/>
      <c r="AC23" s="577"/>
      <c r="AD23" s="577"/>
      <c r="AE23" s="594"/>
      <c r="AF23" s="594"/>
      <c r="AG23" s="256"/>
      <c r="AH23" s="594"/>
      <c r="AI23" s="594"/>
      <c r="AJ23" s="256"/>
      <c r="AK23" s="309"/>
      <c r="AL23" s="255">
        <f>J23+S23+V23+Y23+AB23+AG23+AJ23+AK23+AC23+AD23</f>
        <v>0</v>
      </c>
      <c r="AM23" s="409"/>
      <c r="AN23" s="272"/>
      <c r="AO23" s="272"/>
      <c r="AP23" s="272"/>
      <c r="AQ23" s="272"/>
      <c r="AR23" s="258">
        <f>AL23-AM23-AN23-AO23-AP23-AQ23</f>
        <v>0</v>
      </c>
    </row>
    <row r="24" spans="1:45" ht="63.75" x14ac:dyDescent="0.25">
      <c r="A24" s="292"/>
      <c r="B24" s="205">
        <v>11.3</v>
      </c>
      <c r="C24" s="736" t="s">
        <v>600</v>
      </c>
      <c r="D24" s="265" t="s">
        <v>194</v>
      </c>
      <c r="E24" s="333" t="s">
        <v>551</v>
      </c>
      <c r="F24" s="334"/>
      <c r="G24" s="335"/>
      <c r="H24" s="336"/>
      <c r="I24" s="336"/>
      <c r="J24" s="337"/>
      <c r="K24" s="338"/>
      <c r="L24" s="268"/>
      <c r="M24" s="306"/>
      <c r="N24" s="306"/>
      <c r="O24" s="306"/>
      <c r="P24" s="306"/>
      <c r="Q24" s="306"/>
      <c r="R24" s="306"/>
      <c r="S24" s="254"/>
      <c r="T24" s="306"/>
      <c r="U24" s="306"/>
      <c r="V24" s="255">
        <v>200000</v>
      </c>
      <c r="W24" s="307"/>
      <c r="X24" s="307"/>
      <c r="Y24" s="255"/>
      <c r="Z24" s="308"/>
      <c r="AA24" s="308"/>
      <c r="AB24" s="256"/>
      <c r="AC24" s="577"/>
      <c r="AD24" s="577">
        <v>200000</v>
      </c>
      <c r="AE24" s="594"/>
      <c r="AF24" s="594"/>
      <c r="AG24" s="256">
        <v>200000</v>
      </c>
      <c r="AH24" s="594"/>
      <c r="AI24" s="594"/>
      <c r="AJ24" s="256"/>
      <c r="AK24" s="309"/>
      <c r="AL24" s="255">
        <f>J24+S24+V24+Y24+AB24+AG24+AJ24+AK24+AC24+AD24</f>
        <v>600000</v>
      </c>
      <c r="AM24" s="409"/>
      <c r="AN24" s="272">
        <v>600000</v>
      </c>
      <c r="AO24" s="272"/>
      <c r="AP24" s="272"/>
      <c r="AQ24" s="272"/>
      <c r="AR24" s="258">
        <f>AL24-AM24-AN24-AO24-AP24-AQ24</f>
        <v>0</v>
      </c>
    </row>
    <row r="25" spans="1:45" ht="11.25" customHeight="1" x14ac:dyDescent="0.25">
      <c r="A25" s="478"/>
      <c r="B25" s="478"/>
      <c r="C25" s="478"/>
      <c r="D25" s="478"/>
      <c r="E25" s="478"/>
      <c r="F25" s="478"/>
      <c r="G25" s="478"/>
      <c r="H25" s="478"/>
      <c r="I25" s="478"/>
      <c r="J25" s="478">
        <f>SUM(J22:J24)</f>
        <v>0</v>
      </c>
      <c r="K25" s="478">
        <f t="shared" ref="K25:AR25" si="7">SUM(K22:K24)</f>
        <v>0</v>
      </c>
      <c r="L25" s="478">
        <f t="shared" si="7"/>
        <v>0</v>
      </c>
      <c r="M25" s="478">
        <f t="shared" si="7"/>
        <v>0</v>
      </c>
      <c r="N25" s="478">
        <f t="shared" si="7"/>
        <v>0</v>
      </c>
      <c r="O25" s="478">
        <f t="shared" si="7"/>
        <v>0</v>
      </c>
      <c r="P25" s="478">
        <f t="shared" si="7"/>
        <v>0</v>
      </c>
      <c r="Q25" s="478">
        <f t="shared" si="7"/>
        <v>0</v>
      </c>
      <c r="R25" s="478">
        <f t="shared" si="7"/>
        <v>0</v>
      </c>
      <c r="S25" s="478">
        <f t="shared" si="7"/>
        <v>0</v>
      </c>
      <c r="T25" s="478">
        <f t="shared" si="7"/>
        <v>0</v>
      </c>
      <c r="U25" s="478">
        <f t="shared" si="7"/>
        <v>0</v>
      </c>
      <c r="V25" s="478">
        <f t="shared" si="7"/>
        <v>200000</v>
      </c>
      <c r="W25" s="478">
        <f t="shared" si="7"/>
        <v>0</v>
      </c>
      <c r="X25" s="478">
        <f t="shared" si="7"/>
        <v>0</v>
      </c>
      <c r="Y25" s="478">
        <f t="shared" si="7"/>
        <v>0</v>
      </c>
      <c r="Z25" s="478">
        <f t="shared" si="7"/>
        <v>0</v>
      </c>
      <c r="AA25" s="478">
        <f t="shared" si="7"/>
        <v>0</v>
      </c>
      <c r="AB25" s="478">
        <f t="shared" si="7"/>
        <v>0</v>
      </c>
      <c r="AC25" s="478">
        <f t="shared" si="7"/>
        <v>0</v>
      </c>
      <c r="AD25" s="478">
        <f t="shared" si="7"/>
        <v>200000</v>
      </c>
      <c r="AE25" s="478">
        <f t="shared" si="7"/>
        <v>0</v>
      </c>
      <c r="AF25" s="478">
        <f t="shared" si="7"/>
        <v>0</v>
      </c>
      <c r="AG25" s="478">
        <f t="shared" si="7"/>
        <v>200000</v>
      </c>
      <c r="AH25" s="478">
        <f t="shared" si="7"/>
        <v>0</v>
      </c>
      <c r="AI25" s="478">
        <f t="shared" si="7"/>
        <v>0</v>
      </c>
      <c r="AJ25" s="478">
        <f t="shared" si="7"/>
        <v>0</v>
      </c>
      <c r="AK25" s="478">
        <f t="shared" si="7"/>
        <v>0</v>
      </c>
      <c r="AL25" s="478">
        <f t="shared" si="7"/>
        <v>600000</v>
      </c>
      <c r="AM25" s="478">
        <f t="shared" si="7"/>
        <v>0</v>
      </c>
      <c r="AN25" s="478">
        <f t="shared" si="7"/>
        <v>600000</v>
      </c>
      <c r="AO25" s="478">
        <f t="shared" si="7"/>
        <v>0</v>
      </c>
      <c r="AP25" s="478">
        <f t="shared" si="7"/>
        <v>0</v>
      </c>
      <c r="AQ25" s="478">
        <f t="shared" si="7"/>
        <v>0</v>
      </c>
      <c r="AR25" s="478">
        <f t="shared" si="7"/>
        <v>0</v>
      </c>
    </row>
    <row r="26" spans="1:45" x14ac:dyDescent="0.25">
      <c r="A26" s="489"/>
      <c r="B26" s="489"/>
      <c r="C26" s="490"/>
      <c r="D26" s="491"/>
      <c r="E26" s="492"/>
      <c r="F26" s="493"/>
      <c r="G26" s="494"/>
      <c r="H26" s="495"/>
      <c r="I26" s="495"/>
      <c r="J26" s="494">
        <f t="shared" ref="J26:AR26" si="8">J11+J15+J20+J25</f>
        <v>0</v>
      </c>
      <c r="K26" s="494">
        <f t="shared" si="8"/>
        <v>0</v>
      </c>
      <c r="L26" s="494">
        <f t="shared" si="8"/>
        <v>0</v>
      </c>
      <c r="M26" s="494">
        <f t="shared" si="8"/>
        <v>0</v>
      </c>
      <c r="N26" s="494">
        <f t="shared" si="8"/>
        <v>0</v>
      </c>
      <c r="O26" s="494">
        <f t="shared" si="8"/>
        <v>0</v>
      </c>
      <c r="P26" s="494">
        <f t="shared" si="8"/>
        <v>0</v>
      </c>
      <c r="Q26" s="494">
        <f t="shared" si="8"/>
        <v>0</v>
      </c>
      <c r="R26" s="494">
        <f t="shared" si="8"/>
        <v>0</v>
      </c>
      <c r="S26" s="494">
        <f t="shared" si="8"/>
        <v>4450</v>
      </c>
      <c r="T26" s="494">
        <f t="shared" si="8"/>
        <v>0</v>
      </c>
      <c r="U26" s="494">
        <f t="shared" si="8"/>
        <v>0</v>
      </c>
      <c r="V26" s="494">
        <f t="shared" si="8"/>
        <v>203500</v>
      </c>
      <c r="W26" s="494">
        <f t="shared" si="8"/>
        <v>0</v>
      </c>
      <c r="X26" s="494">
        <f t="shared" si="8"/>
        <v>0</v>
      </c>
      <c r="Y26" s="494">
        <f t="shared" si="8"/>
        <v>282250</v>
      </c>
      <c r="Z26" s="494">
        <f t="shared" si="8"/>
        <v>0</v>
      </c>
      <c r="AA26" s="494">
        <f t="shared" si="8"/>
        <v>0</v>
      </c>
      <c r="AB26" s="494">
        <f t="shared" si="8"/>
        <v>0</v>
      </c>
      <c r="AC26" s="494">
        <f t="shared" si="8"/>
        <v>0</v>
      </c>
      <c r="AD26" s="494">
        <f t="shared" si="8"/>
        <v>674000</v>
      </c>
      <c r="AE26" s="494">
        <f t="shared" si="8"/>
        <v>0</v>
      </c>
      <c r="AF26" s="494">
        <f t="shared" si="8"/>
        <v>0</v>
      </c>
      <c r="AG26" s="494">
        <f t="shared" si="8"/>
        <v>200000</v>
      </c>
      <c r="AH26" s="494">
        <f t="shared" si="8"/>
        <v>0</v>
      </c>
      <c r="AI26" s="494">
        <f t="shared" si="8"/>
        <v>0</v>
      </c>
      <c r="AJ26" s="494">
        <f t="shared" si="8"/>
        <v>0</v>
      </c>
      <c r="AK26" s="494">
        <f t="shared" si="8"/>
        <v>2007950</v>
      </c>
      <c r="AL26" s="494">
        <f t="shared" si="8"/>
        <v>3372150</v>
      </c>
      <c r="AM26" s="494">
        <f t="shared" si="8"/>
        <v>0</v>
      </c>
      <c r="AN26" s="494">
        <f t="shared" si="8"/>
        <v>1300000</v>
      </c>
      <c r="AO26" s="494">
        <f t="shared" si="8"/>
        <v>0</v>
      </c>
      <c r="AP26" s="494">
        <f t="shared" si="8"/>
        <v>0</v>
      </c>
      <c r="AQ26" s="494">
        <f t="shared" si="8"/>
        <v>0</v>
      </c>
      <c r="AR26" s="494">
        <f t="shared" si="8"/>
        <v>2072150</v>
      </c>
    </row>
    <row r="28" spans="1:45" x14ac:dyDescent="0.25">
      <c r="AL28" s="321">
        <f>AM26+AN26+AO26+AP26+AQ26+AR26</f>
        <v>3372150</v>
      </c>
    </row>
  </sheetData>
  <mergeCells count="35">
    <mergeCell ref="B21:AR21"/>
    <mergeCell ref="B9:B10"/>
    <mergeCell ref="C9:C10"/>
    <mergeCell ref="T4:Y4"/>
    <mergeCell ref="Z4:AB5"/>
    <mergeCell ref="AK3:AK6"/>
    <mergeCell ref="B18:B19"/>
    <mergeCell ref="C18:C19"/>
    <mergeCell ref="B2:P2"/>
    <mergeCell ref="A3:E3"/>
    <mergeCell ref="G3:J3"/>
    <mergeCell ref="K3:AB3"/>
    <mergeCell ref="AE5:AG5"/>
    <mergeCell ref="AC3:AJ4"/>
    <mergeCell ref="T5:V5"/>
    <mergeCell ref="W5:Y5"/>
    <mergeCell ref="F5:F6"/>
    <mergeCell ref="AD5:AD6"/>
    <mergeCell ref="B4:C6"/>
    <mergeCell ref="A17:A19"/>
    <mergeCell ref="A8:AR8"/>
    <mergeCell ref="A12:AR12"/>
    <mergeCell ref="AL3:AL6"/>
    <mergeCell ref="AM3:AR5"/>
    <mergeCell ref="D4:E6"/>
    <mergeCell ref="A9:A10"/>
    <mergeCell ref="B13:B14"/>
    <mergeCell ref="C13:C14"/>
    <mergeCell ref="B16:E16"/>
    <mergeCell ref="A4:A6"/>
    <mergeCell ref="AH5:AJ5"/>
    <mergeCell ref="G4:J5"/>
    <mergeCell ref="K4:S5"/>
    <mergeCell ref="AC5:AC6"/>
    <mergeCell ref="A13:A14"/>
  </mergeCells>
  <pageMargins left="0.7" right="0.7" top="0.75" bottom="0.75" header="0.3" footer="0.3"/>
  <pageSetup orientation="portrait" horizontalDpi="4294967293" verticalDpi="429496729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Page de couverture</vt:lpstr>
      <vt:lpstr>Résumé</vt:lpstr>
      <vt:lpstr>A.Budgétisation réal.</vt:lpstr>
      <vt:lpstr>Fonction publique et GRH</vt:lpstr>
      <vt:lpstr>EAAP</vt:lpstr>
      <vt:lpstr>Politiques&amp;Suivi&amp;Législation</vt:lpstr>
      <vt:lpstr>Innovation</vt:lpstr>
      <vt:lpstr>Décentralisation </vt:lpstr>
      <vt:lpstr>Transparence &amp; Anti-corruption </vt:lpstr>
      <vt:lpstr>'A.Budgétisation réal.'!Print_Area</vt:lpstr>
      <vt:lpstr>'Page de couverture'!Print_Area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City Computer</dc:creator>
  <cp:lastModifiedBy>WILKINS Ross</cp:lastModifiedBy>
  <cp:lastPrinted>2018-05-28T17:14:05Z</cp:lastPrinted>
  <dcterms:created xsi:type="dcterms:W3CDTF">2011-06-14T16:15:51Z</dcterms:created>
  <dcterms:modified xsi:type="dcterms:W3CDTF">2019-07-19T12:05:06Z</dcterms:modified>
</cp:coreProperties>
</file>